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 activeTab="2"/>
  </bookViews>
  <sheets>
    <sheet name="Naslovnica" sheetId="4" r:id="rId1"/>
    <sheet name="Uvod" sheetId="1" r:id="rId2"/>
    <sheet name="Zaposleni 1" sheetId="5" r:id="rId3"/>
    <sheet name="Zaposleni 2" sheetId="6" r:id="rId4"/>
    <sheet name="Zaposleni 3" sheetId="7" r:id="rId5"/>
    <sheet name="Količine" sheetId="8" r:id="rId6"/>
    <sheet name="Račun dobiti" sheetId="9" r:id="rId7"/>
    <sheet name="Specifikacija prihoda" sheetId="10" r:id="rId8"/>
    <sheet name="Specifikacija rashoda" sheetId="11" r:id="rId9"/>
    <sheet name="Struktura prihoda i rashoda" sheetId="12" r:id="rId10"/>
    <sheet name="List2" sheetId="2" r:id="rId11"/>
    <sheet name="List3" sheetId="3" r:id="rId12"/>
  </sheets>
  <definedNames>
    <definedName name="date13.10.2008" localSheetId="7">'Specifikacija prihoda'!#REF!</definedName>
    <definedName name="_xlnm.Print_Area" localSheetId="5">Količine!$B$1:$K$47</definedName>
    <definedName name="_xlnm.Print_Area" localSheetId="0">Naslovnica!$A$1:$C$110</definedName>
    <definedName name="_xlnm.Print_Area" localSheetId="6">'Račun dobiti'!$B$1:$H$51</definedName>
    <definedName name="_xlnm.Print_Area" localSheetId="7">'Specifikacija prihoda'!$A$1:$G$50</definedName>
    <definedName name="_xlnm.Print_Area" localSheetId="8">'Specifikacija rashoda'!$A$1:$G$51</definedName>
    <definedName name="_xlnm.Print_Area" localSheetId="9">'Struktura prihoda i rashoda'!$A$1:$G$52</definedName>
    <definedName name="_xlnm.Print_Area" localSheetId="1">Uvod!$A$1:$A$320</definedName>
    <definedName name="_xlnm.Print_Area" localSheetId="2">'Zaposleni 1'!$A$1:$G$53</definedName>
    <definedName name="_xlnm.Print_Area" localSheetId="3">'Zaposleni 2'!$A$1:$J$53</definedName>
    <definedName name="_xlnm.Print_Area" localSheetId="4">'Zaposleni 3'!$B$1:$H$53</definedName>
  </definedNames>
  <calcPr calcId="145621"/>
</workbook>
</file>

<file path=xl/calcChain.xml><?xml version="1.0" encoding="utf-8"?>
<calcChain xmlns="http://schemas.openxmlformats.org/spreadsheetml/2006/main">
  <c r="E43" i="12" l="1"/>
  <c r="C43" i="12"/>
  <c r="E42" i="12"/>
  <c r="C42" i="12"/>
  <c r="E41" i="12"/>
  <c r="C41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4" i="12"/>
  <c r="C14" i="12"/>
  <c r="E13" i="12"/>
  <c r="C13" i="12"/>
  <c r="E12" i="12"/>
  <c r="C12" i="12"/>
  <c r="G42" i="11"/>
  <c r="F42" i="11"/>
  <c r="G41" i="11"/>
  <c r="F41" i="11"/>
  <c r="E40" i="11"/>
  <c r="F40" i="11" s="1"/>
  <c r="E39" i="11"/>
  <c r="D39" i="11"/>
  <c r="C39" i="11"/>
  <c r="C45" i="12" s="1"/>
  <c r="G38" i="11"/>
  <c r="F38" i="11"/>
  <c r="E36" i="11"/>
  <c r="E32" i="11" s="1"/>
  <c r="G35" i="11"/>
  <c r="F35" i="11"/>
  <c r="G34" i="11"/>
  <c r="F34" i="11"/>
  <c r="G33" i="11"/>
  <c r="F33" i="11"/>
  <c r="D32" i="11"/>
  <c r="E23" i="9" s="1"/>
  <c r="C32" i="11"/>
  <c r="C44" i="12" s="1"/>
  <c r="F31" i="11"/>
  <c r="G30" i="11"/>
  <c r="F30" i="11"/>
  <c r="G29" i="11"/>
  <c r="F29" i="11"/>
  <c r="G28" i="11"/>
  <c r="F28" i="11"/>
  <c r="G27" i="11"/>
  <c r="F27" i="11"/>
  <c r="G26" i="11"/>
  <c r="F26" i="11"/>
  <c r="E25" i="11"/>
  <c r="E40" i="12" s="1"/>
  <c r="D25" i="11"/>
  <c r="E19" i="9" s="1"/>
  <c r="C25" i="11"/>
  <c r="E24" i="11"/>
  <c r="C24" i="11"/>
  <c r="E23" i="11"/>
  <c r="F23" i="11" s="1"/>
  <c r="E22" i="11"/>
  <c r="F22" i="11" s="1"/>
  <c r="D21" i="11"/>
  <c r="C21" i="11"/>
  <c r="D18" i="9" s="1"/>
  <c r="E20" i="11"/>
  <c r="G20" i="11" s="1"/>
  <c r="C20" i="11"/>
  <c r="C18" i="11" s="1"/>
  <c r="E19" i="11"/>
  <c r="F19" i="11" s="1"/>
  <c r="D18" i="11"/>
  <c r="E17" i="9" s="1"/>
  <c r="G17" i="11"/>
  <c r="F17" i="11"/>
  <c r="G16" i="11"/>
  <c r="F16" i="11"/>
  <c r="E15" i="11"/>
  <c r="C15" i="11"/>
  <c r="E14" i="11"/>
  <c r="C14" i="11"/>
  <c r="C13" i="11" s="1"/>
  <c r="D13" i="11"/>
  <c r="E9" i="11"/>
  <c r="G30" i="10"/>
  <c r="F30" i="10"/>
  <c r="E29" i="10"/>
  <c r="E24" i="12" s="1"/>
  <c r="D29" i="10"/>
  <c r="G29" i="10" s="1"/>
  <c r="C29" i="10"/>
  <c r="C24" i="12" s="1"/>
  <c r="G28" i="10"/>
  <c r="F28" i="10"/>
  <c r="G27" i="10"/>
  <c r="F27" i="10"/>
  <c r="G26" i="10"/>
  <c r="F26" i="10"/>
  <c r="E25" i="10"/>
  <c r="D25" i="10"/>
  <c r="E14" i="9" s="1"/>
  <c r="C25" i="10"/>
  <c r="D14" i="9" s="1"/>
  <c r="F24" i="10"/>
  <c r="G23" i="10"/>
  <c r="F23" i="10"/>
  <c r="F22" i="10"/>
  <c r="G21" i="10"/>
  <c r="F21" i="10"/>
  <c r="G20" i="10"/>
  <c r="F20" i="10"/>
  <c r="G19" i="10"/>
  <c r="F19" i="10"/>
  <c r="G18" i="10"/>
  <c r="F18" i="10"/>
  <c r="G17" i="10"/>
  <c r="F17" i="10"/>
  <c r="E16" i="10"/>
  <c r="D16" i="10"/>
  <c r="C16" i="10"/>
  <c r="G15" i="10"/>
  <c r="F15" i="10"/>
  <c r="G14" i="10"/>
  <c r="F14" i="10"/>
  <c r="G13" i="10"/>
  <c r="F13" i="10"/>
  <c r="E12" i="10"/>
  <c r="D12" i="10"/>
  <c r="C12" i="10"/>
  <c r="E8" i="10"/>
  <c r="E28" i="9"/>
  <c r="D28" i="9"/>
  <c r="E27" i="9"/>
  <c r="D27" i="9"/>
  <c r="F26" i="9"/>
  <c r="E26" i="9"/>
  <c r="D26" i="9"/>
  <c r="E25" i="9"/>
  <c r="D25" i="9"/>
  <c r="F22" i="9"/>
  <c r="E22" i="9"/>
  <c r="D22" i="9"/>
  <c r="F21" i="9"/>
  <c r="E21" i="9"/>
  <c r="D21" i="9"/>
  <c r="F20" i="9"/>
  <c r="E20" i="9"/>
  <c r="D20" i="9"/>
  <c r="E18" i="9"/>
  <c r="E16" i="9"/>
  <c r="F14" i="9"/>
  <c r="K43" i="8"/>
  <c r="J43" i="8"/>
  <c r="K42" i="8"/>
  <c r="J42" i="8"/>
  <c r="K41" i="8"/>
  <c r="J41" i="8"/>
  <c r="I39" i="8"/>
  <c r="K39" i="8" s="1"/>
  <c r="G39" i="8"/>
  <c r="I38" i="8"/>
  <c r="K38" i="8" s="1"/>
  <c r="G38" i="8"/>
  <c r="K36" i="8"/>
  <c r="J36" i="8"/>
  <c r="I35" i="8"/>
  <c r="I33" i="8" s="1"/>
  <c r="G35" i="8"/>
  <c r="G33" i="8" s="1"/>
  <c r="K34" i="8"/>
  <c r="J34" i="8"/>
  <c r="H33" i="8"/>
  <c r="K32" i="8"/>
  <c r="J32" i="8"/>
  <c r="I30" i="8"/>
  <c r="G30" i="8"/>
  <c r="H29" i="8"/>
  <c r="K27" i="8"/>
  <c r="J27" i="8"/>
  <c r="K26" i="8"/>
  <c r="J26" i="8"/>
  <c r="K23" i="8"/>
  <c r="J23" i="8"/>
  <c r="K20" i="8"/>
  <c r="J20" i="8"/>
  <c r="K19" i="8"/>
  <c r="J19" i="8"/>
  <c r="K18" i="8"/>
  <c r="J18" i="8"/>
  <c r="K17" i="8"/>
  <c r="J17" i="8"/>
  <c r="I16" i="8"/>
  <c r="H16" i="8"/>
  <c r="H21" i="8" s="1"/>
  <c r="H22" i="8" s="1"/>
  <c r="G16" i="8"/>
  <c r="G21" i="8" s="1"/>
  <c r="G22" i="8" s="1"/>
  <c r="I14" i="8"/>
  <c r="H14" i="8"/>
  <c r="G14" i="8"/>
  <c r="K13" i="8"/>
  <c r="J13" i="8"/>
  <c r="K12" i="8"/>
  <c r="J12" i="8"/>
  <c r="G21" i="12" l="1"/>
  <c r="G13" i="12"/>
  <c r="E11" i="12"/>
  <c r="G19" i="11"/>
  <c r="F24" i="11"/>
  <c r="G24" i="11"/>
  <c r="F15" i="11"/>
  <c r="D23" i="9"/>
  <c r="G43" i="12"/>
  <c r="G39" i="11"/>
  <c r="G40" i="11"/>
  <c r="D12" i="11"/>
  <c r="D11" i="11" s="1"/>
  <c r="D43" i="11" s="1"/>
  <c r="E21" i="11"/>
  <c r="F21" i="11" s="1"/>
  <c r="G23" i="11"/>
  <c r="F28" i="9"/>
  <c r="F27" i="9" s="1"/>
  <c r="G27" i="9" s="1"/>
  <c r="G42" i="12"/>
  <c r="G32" i="11"/>
  <c r="E45" i="12"/>
  <c r="G45" i="12" s="1"/>
  <c r="E15" i="12"/>
  <c r="F18" i="12" s="1"/>
  <c r="C11" i="12"/>
  <c r="D13" i="12" s="1"/>
  <c r="C15" i="12"/>
  <c r="D20" i="12" s="1"/>
  <c r="G17" i="12"/>
  <c r="G20" i="12"/>
  <c r="F12" i="12"/>
  <c r="F13" i="12"/>
  <c r="G22" i="12"/>
  <c r="C23" i="12"/>
  <c r="C11" i="10"/>
  <c r="D13" i="9" s="1"/>
  <c r="D12" i="9" s="1"/>
  <c r="F14" i="12"/>
  <c r="D11" i="10"/>
  <c r="E13" i="9" s="1"/>
  <c r="E12" i="9" s="1"/>
  <c r="E31" i="9" s="1"/>
  <c r="G14" i="12"/>
  <c r="E11" i="10"/>
  <c r="F11" i="10" s="1"/>
  <c r="G12" i="10"/>
  <c r="G16" i="12"/>
  <c r="F29" i="10"/>
  <c r="G18" i="12"/>
  <c r="H21" i="9"/>
  <c r="G22" i="9"/>
  <c r="D29" i="9"/>
  <c r="E29" i="9"/>
  <c r="H20" i="9"/>
  <c r="K14" i="8"/>
  <c r="J30" i="8"/>
  <c r="K16" i="8"/>
  <c r="I21" i="8"/>
  <c r="I22" i="8" s="1"/>
  <c r="J22" i="8" s="1"/>
  <c r="H14" i="9"/>
  <c r="H26" i="9"/>
  <c r="F25" i="9"/>
  <c r="C12" i="11"/>
  <c r="C11" i="11" s="1"/>
  <c r="C43" i="11" s="1"/>
  <c r="D16" i="9"/>
  <c r="C37" i="12"/>
  <c r="F32" i="11"/>
  <c r="E13" i="11"/>
  <c r="G14" i="11"/>
  <c r="F14" i="11"/>
  <c r="F23" i="9"/>
  <c r="E44" i="12"/>
  <c r="G26" i="9"/>
  <c r="G25" i="10"/>
  <c r="D17" i="9"/>
  <c r="C38" i="12"/>
  <c r="G14" i="9"/>
  <c r="E15" i="9"/>
  <c r="E32" i="9" s="1"/>
  <c r="C40" i="12"/>
  <c r="D19" i="9"/>
  <c r="F25" i="10"/>
  <c r="F16" i="10"/>
  <c r="G15" i="11"/>
  <c r="G12" i="12"/>
  <c r="G20" i="9"/>
  <c r="F12" i="10"/>
  <c r="G22" i="11"/>
  <c r="E18" i="11"/>
  <c r="E23" i="12"/>
  <c r="G24" i="12"/>
  <c r="F39" i="11"/>
  <c r="F20" i="11"/>
  <c r="G19" i="12"/>
  <c r="F19" i="9"/>
  <c r="F25" i="11"/>
  <c r="G16" i="10"/>
  <c r="G25" i="11"/>
  <c r="F36" i="11"/>
  <c r="G36" i="11"/>
  <c r="G41" i="12"/>
  <c r="C39" i="12"/>
  <c r="G21" i="9"/>
  <c r="K33" i="8"/>
  <c r="J33" i="8"/>
  <c r="J14" i="8"/>
  <c r="J21" i="8"/>
  <c r="K30" i="8"/>
  <c r="J16" i="8"/>
  <c r="G31" i="8"/>
  <c r="G29" i="8" s="1"/>
  <c r="I31" i="8"/>
  <c r="J39" i="8"/>
  <c r="K21" i="8"/>
  <c r="K35" i="8"/>
  <c r="J38" i="8"/>
  <c r="J35" i="8"/>
  <c r="H27" i="9" l="1"/>
  <c r="G28" i="9"/>
  <c r="D10" i="10"/>
  <c r="D31" i="10" s="1"/>
  <c r="E10" i="10"/>
  <c r="G11" i="10"/>
  <c r="G11" i="12"/>
  <c r="D21" i="12"/>
  <c r="D12" i="12"/>
  <c r="D19" i="12"/>
  <c r="D18" i="12"/>
  <c r="D22" i="12"/>
  <c r="D16" i="12"/>
  <c r="D14" i="12"/>
  <c r="D17" i="12"/>
  <c r="C10" i="12"/>
  <c r="G10" i="12" s="1"/>
  <c r="H28" i="9"/>
  <c r="G21" i="11"/>
  <c r="E39" i="12"/>
  <c r="G39" i="12" s="1"/>
  <c r="F18" i="9"/>
  <c r="F13" i="9"/>
  <c r="H13" i="9" s="1"/>
  <c r="F17" i="12"/>
  <c r="C10" i="10"/>
  <c r="C31" i="10" s="1"/>
  <c r="F19" i="12"/>
  <c r="F20" i="12"/>
  <c r="F21" i="12"/>
  <c r="G15" i="12"/>
  <c r="F22" i="12"/>
  <c r="F16" i="12"/>
  <c r="E10" i="12"/>
  <c r="F15" i="12" s="1"/>
  <c r="D15" i="9"/>
  <c r="D32" i="9" s="1"/>
  <c r="K22" i="8"/>
  <c r="C36" i="12"/>
  <c r="D39" i="12" s="1"/>
  <c r="D37" i="12"/>
  <c r="H19" i="9"/>
  <c r="G19" i="9"/>
  <c r="H25" i="9"/>
  <c r="G25" i="9"/>
  <c r="F29" i="9"/>
  <c r="D31" i="9"/>
  <c r="H23" i="9"/>
  <c r="G23" i="9"/>
  <c r="F17" i="9"/>
  <c r="E38" i="12"/>
  <c r="F18" i="11"/>
  <c r="G18" i="11"/>
  <c r="E24" i="9"/>
  <c r="G10" i="10"/>
  <c r="E31" i="10"/>
  <c r="E9" i="12"/>
  <c r="F23" i="12" s="1"/>
  <c r="E33" i="9"/>
  <c r="G44" i="12"/>
  <c r="G23" i="12"/>
  <c r="G13" i="11"/>
  <c r="F13" i="11"/>
  <c r="F16" i="9"/>
  <c r="E37" i="12"/>
  <c r="E12" i="11"/>
  <c r="G40" i="12"/>
  <c r="J31" i="8"/>
  <c r="K31" i="8"/>
  <c r="I29" i="8"/>
  <c r="F10" i="10" l="1"/>
  <c r="D38" i="12"/>
  <c r="D15" i="12"/>
  <c r="D11" i="12"/>
  <c r="C9" i="12"/>
  <c r="G9" i="12" s="1"/>
  <c r="D33" i="9"/>
  <c r="D24" i="9"/>
  <c r="G18" i="9"/>
  <c r="H18" i="9"/>
  <c r="F12" i="9"/>
  <c r="F31" i="9" s="1"/>
  <c r="G13" i="9"/>
  <c r="F11" i="12"/>
  <c r="G17" i="9"/>
  <c r="H17" i="9"/>
  <c r="G38" i="12"/>
  <c r="C25" i="12"/>
  <c r="D23" i="12"/>
  <c r="D10" i="12"/>
  <c r="F15" i="9"/>
  <c r="G16" i="9"/>
  <c r="H16" i="9"/>
  <c r="E25" i="12"/>
  <c r="F9" i="12" s="1"/>
  <c r="F10" i="12"/>
  <c r="E11" i="11"/>
  <c r="G12" i="11"/>
  <c r="F12" i="11"/>
  <c r="G31" i="10"/>
  <c r="F31" i="10"/>
  <c r="G37" i="12"/>
  <c r="E36" i="12"/>
  <c r="C35" i="12"/>
  <c r="D36" i="12" s="1"/>
  <c r="J29" i="8"/>
  <c r="K29" i="8"/>
  <c r="G12" i="9" l="1"/>
  <c r="H12" i="9"/>
  <c r="F24" i="9"/>
  <c r="F11" i="11"/>
  <c r="E43" i="11"/>
  <c r="G11" i="11"/>
  <c r="G31" i="9"/>
  <c r="H31" i="9"/>
  <c r="G36" i="12"/>
  <c r="E35" i="12"/>
  <c r="F39" i="12"/>
  <c r="D24" i="12"/>
  <c r="G25" i="12"/>
  <c r="F24" i="12"/>
  <c r="F25" i="12" s="1"/>
  <c r="G24" i="9"/>
  <c r="H24" i="9"/>
  <c r="C47" i="12"/>
  <c r="D41" i="12"/>
  <c r="D42" i="12"/>
  <c r="D43" i="12"/>
  <c r="D44" i="12"/>
  <c r="D40" i="12"/>
  <c r="G15" i="9"/>
  <c r="F32" i="9"/>
  <c r="F33" i="9" s="1"/>
  <c r="H15" i="9"/>
  <c r="F37" i="12"/>
  <c r="D9" i="12"/>
  <c r="F38" i="12"/>
  <c r="H25" i="7"/>
  <c r="F23" i="7"/>
  <c r="H23" i="7" s="1"/>
  <c r="D23" i="7"/>
  <c r="F22" i="7"/>
  <c r="F26" i="7" s="1"/>
  <c r="D22" i="7"/>
  <c r="H20" i="7"/>
  <c r="H19" i="7"/>
  <c r="H18" i="7"/>
  <c r="F17" i="7"/>
  <c r="F21" i="7" s="1"/>
  <c r="D17" i="7"/>
  <c r="D21" i="7" s="1"/>
  <c r="F16" i="7"/>
  <c r="H14" i="7"/>
  <c r="H13" i="7"/>
  <c r="D12" i="7"/>
  <c r="H12" i="7" s="1"/>
  <c r="F11" i="7"/>
  <c r="D11" i="7"/>
  <c r="H10" i="7"/>
  <c r="H26" i="6"/>
  <c r="F26" i="6"/>
  <c r="E26" i="6"/>
  <c r="D26" i="6"/>
  <c r="B26" i="6"/>
  <c r="C27" i="6" s="1"/>
  <c r="E15" i="6"/>
  <c r="D15" i="6"/>
  <c r="C15" i="6"/>
  <c r="H14" i="6"/>
  <c r="F14" i="6"/>
  <c r="H13" i="6"/>
  <c r="F13" i="6"/>
  <c r="H12" i="6"/>
  <c r="C12" i="6"/>
  <c r="F12" i="6" s="1"/>
  <c r="H11" i="6"/>
  <c r="C11" i="6"/>
  <c r="F11" i="6" s="1"/>
  <c r="H10" i="6"/>
  <c r="F10" i="6"/>
  <c r="H9" i="6"/>
  <c r="F9" i="6"/>
  <c r="E8" i="6"/>
  <c r="H8" i="6" s="1"/>
  <c r="C8" i="6"/>
  <c r="D27" i="5"/>
  <c r="B27" i="5"/>
  <c r="B28" i="5" s="1"/>
  <c r="C23" i="5" s="1"/>
  <c r="F26" i="5"/>
  <c r="F25" i="5"/>
  <c r="F24" i="5"/>
  <c r="F23" i="5"/>
  <c r="F22" i="5"/>
  <c r="F21" i="5"/>
  <c r="F20" i="5"/>
  <c r="B56" i="4"/>
  <c r="D25" i="12" l="1"/>
  <c r="E27" i="6"/>
  <c r="F27" i="6"/>
  <c r="D27" i="6"/>
  <c r="H27" i="6"/>
  <c r="F27" i="5"/>
  <c r="D28" i="5"/>
  <c r="E21" i="5" s="1"/>
  <c r="H33" i="9"/>
  <c r="G33" i="9"/>
  <c r="D45" i="12"/>
  <c r="E47" i="12"/>
  <c r="G35" i="12"/>
  <c r="F35" i="12"/>
  <c r="F42" i="12"/>
  <c r="F41" i="12"/>
  <c r="F40" i="12"/>
  <c r="F43" i="12"/>
  <c r="F44" i="12"/>
  <c r="F36" i="12"/>
  <c r="D35" i="12"/>
  <c r="G32" i="9"/>
  <c r="H32" i="9"/>
  <c r="F43" i="11"/>
  <c r="G43" i="11"/>
  <c r="G20" i="7"/>
  <c r="E20" i="7"/>
  <c r="G19" i="7"/>
  <c r="E19" i="7"/>
  <c r="G18" i="7"/>
  <c r="E18" i="7"/>
  <c r="H15" i="6"/>
  <c r="H21" i="7"/>
  <c r="D26" i="7"/>
  <c r="E22" i="7"/>
  <c r="H26" i="7"/>
  <c r="G25" i="7"/>
  <c r="E25" i="7"/>
  <c r="E23" i="7"/>
  <c r="D16" i="7"/>
  <c r="E11" i="7"/>
  <c r="H11" i="7"/>
  <c r="C22" i="5"/>
  <c r="C21" i="5"/>
  <c r="C20" i="5"/>
  <c r="C26" i="5"/>
  <c r="C25" i="5"/>
  <c r="C24" i="5"/>
  <c r="C28" i="5"/>
  <c r="G10" i="7"/>
  <c r="E10" i="7"/>
  <c r="G14" i="7"/>
  <c r="E14" i="7"/>
  <c r="G13" i="7"/>
  <c r="E13" i="7"/>
  <c r="G12" i="7"/>
  <c r="F28" i="7"/>
  <c r="G21" i="7" s="1"/>
  <c r="E17" i="7"/>
  <c r="F15" i="6"/>
  <c r="G11" i="7"/>
  <c r="G22" i="7"/>
  <c r="F8" i="6"/>
  <c r="G17" i="7"/>
  <c r="H22" i="7"/>
  <c r="H17" i="7"/>
  <c r="E12" i="7"/>
  <c r="G23" i="7"/>
  <c r="C27" i="5"/>
  <c r="D47" i="12" l="1"/>
  <c r="G26" i="7"/>
  <c r="B27" i="6"/>
  <c r="E27" i="5"/>
  <c r="E24" i="5"/>
  <c r="E25" i="5"/>
  <c r="E26" i="5"/>
  <c r="E20" i="5"/>
  <c r="E23" i="5"/>
  <c r="E22" i="5"/>
  <c r="F28" i="5"/>
  <c r="E28" i="5"/>
  <c r="G47" i="12"/>
  <c r="F45" i="12"/>
  <c r="F47" i="12" s="1"/>
  <c r="D28" i="7"/>
  <c r="E21" i="7" s="1"/>
  <c r="H16" i="7"/>
  <c r="E26" i="7"/>
  <c r="H28" i="7"/>
  <c r="H27" i="7"/>
  <c r="G16" i="7"/>
  <c r="G28" i="7" s="1"/>
  <c r="E16" i="7" l="1"/>
  <c r="E28" i="7" s="1"/>
</calcChain>
</file>

<file path=xl/sharedStrings.xml><?xml version="1.0" encoding="utf-8"?>
<sst xmlns="http://schemas.openxmlformats.org/spreadsheetml/2006/main" count="465" uniqueCount="278">
  <si>
    <t xml:space="preserve"> </t>
  </si>
  <si>
    <t>VODOOPSKRBA I ODVODNJA  ZAPREŠIĆ d.o.o.</t>
  </si>
  <si>
    <t xml:space="preserve">SADRŽAJ:       </t>
  </si>
  <si>
    <r>
      <t>I.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UVOD</t>
    </r>
  </si>
  <si>
    <t>II. STRUKTURA ZAPOSLENIH I KORIŠTENJE RADNOG VREMENA</t>
  </si>
  <si>
    <r>
      <t>III.</t>
    </r>
    <r>
      <rPr>
        <sz val="7"/>
        <rFont val="Times New Roman"/>
        <family val="1"/>
        <charset val="238"/>
      </rPr>
      <t xml:space="preserve">   </t>
    </r>
    <r>
      <rPr>
        <sz val="12"/>
        <rFont val="Times New Roman"/>
        <family val="1"/>
        <charset val="238"/>
      </rPr>
      <t>KOLIČINSKI POKAZATELJI</t>
    </r>
  </si>
  <si>
    <t>IV. FINANCIJSKI REZULTATI POSLOVANJA</t>
  </si>
  <si>
    <t>GODIŠNJI IZVJEŠTAJ ZA 2024. GODINU</t>
  </si>
  <si>
    <t>GODIŠNJI IZVJEŠTAJ</t>
  </si>
  <si>
    <t>ZA 2024. GODINU</t>
  </si>
  <si>
    <t>V. IZVJEŠTAJ O REZULTATIMA POSLOVANJA PO RADNIM JEDINICAMA</t>
  </si>
  <si>
    <t>1. Broj zaposlenih</t>
  </si>
  <si>
    <t>Na dan 31.12.2024. godine Vodoopskrba i odvodnja Zaprešić d.o.o. ima75 zaposlenih radnika 
što je povećanje za 10 radnika u odnosu na 01.01.2024. godine. 
U kvalifikacijskoj strukturi zaposlenih najveći dio čine radnici SSS sa 46,67 %, 
te KV radnici sa 22,67 % učešća.</t>
  </si>
  <si>
    <t>Tabela II. 1. - Pregled broja zaposlenih po stvarnoj kvalifikacijskoj strukturi</t>
  </si>
  <si>
    <t>STRUČNA
SPREMA</t>
  </si>
  <si>
    <t>Indeks
4/2</t>
  </si>
  <si>
    <t>01.01.2024.</t>
  </si>
  <si>
    <t>Struktura u</t>
  </si>
  <si>
    <t>31.12.2024.</t>
  </si>
  <si>
    <t>%</t>
  </si>
  <si>
    <t>DR.SC.</t>
  </si>
  <si>
    <t>VSS</t>
  </si>
  <si>
    <t>VŠS</t>
  </si>
  <si>
    <t>SSS</t>
  </si>
  <si>
    <t>NSS</t>
  </si>
  <si>
    <t>VKV</t>
  </si>
  <si>
    <t>KV</t>
  </si>
  <si>
    <t>NKV</t>
  </si>
  <si>
    <t>UKUPNO</t>
  </si>
  <si>
    <t>Od ukupnog broja zaposlenih na dan 31.12.2024. godine, 72 zaposlene osobe zaposlene su na  neodređeno vrijeme, te su 3 zaposlene osobe na određeno vrijeme.
Po spolnoj strukturi 69 (92 %) zaposlenih su muškarci, a 6 (8 %) zaposlenih su žene.</t>
  </si>
  <si>
    <t xml:space="preserve">Prosječna  mjesečna bruto plaća u Vodoopskrbi i odvodnji Zaprešić  d.o.o. u 2024. godini iznosila je 1.795 eura, istovremeno je  prosječna mjesečna bruto plaća na razini Republike Hrvatske  iznosila 1.821 euro. </t>
  </si>
  <si>
    <t>Prosječna mjesečna neto plaća  isplaćena u društvu Vodoopskrba i odvodnja Zaprešić d.o.o. u 2024. godini je iznosila  1.298 eura. Prosječna mjesečna neto plaća isplaćena na razini Republike Hrvatske u 2024. godini iznosila je 1.318 eura.</t>
  </si>
  <si>
    <t>Iz  navedenih podataka  je vidljivo da su isplaćene  plaće zaposlenih u društvu Vodoopskrba i odvodnja Zaprešić d.o.o. za 1% niže od prosječnih isplaćenih plaća u pravnim osobama Republike Hrvatske.</t>
  </si>
  <si>
    <t>Medijalna bruto plaća za prosinac 2024. u Vodoopskrbi i odvodnji Zaprešić d.o.o. iznosila je 1.997 eura, dok je na razini Republike Hrvatske iznosila 1.559 eura.</t>
  </si>
  <si>
    <t>Medijalna neto plaća za prosinac 2024. u Vodoopskrbi i odvodnji Zaprešić d.o.o. iznosila je 1.431 euro, dok je na razini Republike Hrvatske iznosila 1.156 eura.</t>
  </si>
  <si>
    <t>Neto plaće i naknade</t>
  </si>
  <si>
    <t>Porezi i doprinosi iz plaća</t>
  </si>
  <si>
    <t>U nastavku se daje tabelarni pregled broja radnika po radnim jedinicama na dan 31.12.2024. godine.</t>
  </si>
  <si>
    <t>Tabela II. 2.</t>
  </si>
  <si>
    <t>RADNA JEDINICA</t>
  </si>
  <si>
    <t>PLAN 2024.</t>
  </si>
  <si>
    <t xml:space="preserve">   31.12.2024.</t>
  </si>
  <si>
    <t>Indeks       
  4/2</t>
  </si>
  <si>
    <t>Indeks       
  4/3</t>
  </si>
  <si>
    <t>RJ Tehnički poslovi</t>
  </si>
  <si>
    <t>- Priprema i razvoj</t>
  </si>
  <si>
    <t>- Kontrola kvalitete vode</t>
  </si>
  <si>
    <t>RJ Vodoopskrba</t>
  </si>
  <si>
    <t>RJ Odvodnja</t>
  </si>
  <si>
    <t>RJ Pročišćavanje</t>
  </si>
  <si>
    <t>RJ Zajednički poslovi - ured direktora</t>
  </si>
  <si>
    <t>SVEUKUPNO</t>
  </si>
  <si>
    <t>U 2024. godini zaposlena su 2 nova zaposlenika u RJ Vodoopskrba na upražnjena mjesta krajem prethodne godine. 3 djelatnika zaposlena su u RJ Odvodnja  zbog povećanja kanalizacijske mreže, te jedan djelatnik u RJ Pročišćavanje zbog pokretanje pročistača 3.biološkog stupnja. Iz matičnog društva Zaprešić d.o.o. prebačena su  4 ključna zaposlenika u RJ Zajednički poslovi što je bio uvjet kako bi Vodoopskrba i odvodnja Zaprešić d.o.o. poslovala kao jedinstveni javni isporučitelj.</t>
  </si>
  <si>
    <t>U nastavku se daje tabelarni pregled starosne strukture zaposlenih na dan 31.12.2024. godine</t>
  </si>
  <si>
    <t>Tabela II. 3.</t>
  </si>
  <si>
    <t xml:space="preserve"> GODINE STAROSTI</t>
  </si>
  <si>
    <t>OPIS</t>
  </si>
  <si>
    <t>19-24</t>
  </si>
  <si>
    <t>25-34</t>
  </si>
  <si>
    <t>35-44</t>
  </si>
  <si>
    <t>45-54</t>
  </si>
  <si>
    <t>55-65</t>
  </si>
  <si>
    <t>1</t>
  </si>
  <si>
    <t>udio u %</t>
  </si>
  <si>
    <t>Prema dobnoj strukturi najveće učešće imaju radnici između 45-54 godine (36%), radnici između 35-44 godina (23%), te radnici između 55-65 godine (17%). Učešće radne snage mlađe dobne skupine do 24 godine iznosi 9%.</t>
  </si>
  <si>
    <t>U nastavku se može vidjeti prosječni minuli rad i prosječna starost zaposlenih po stručnim spremama.</t>
  </si>
  <si>
    <t>Tabela II. 4.</t>
  </si>
  <si>
    <t>STRUČNA  SPREMA</t>
  </si>
  <si>
    <t>Prosj.minuli rad</t>
  </si>
  <si>
    <t>Prosječna starost</t>
  </si>
  <si>
    <t>(godina)</t>
  </si>
  <si>
    <t>DR.SC</t>
  </si>
  <si>
    <t>Prosječna starosna dob zaposlenih je 43 godina, a prosječni minuli rad 22 godine.</t>
  </si>
  <si>
    <t>2.  Korištenje radnog vremena</t>
  </si>
  <si>
    <t>Tabela II. 5.</t>
  </si>
  <si>
    <t>Red.br.</t>
  </si>
  <si>
    <t xml:space="preserve">            Struktura sati</t>
  </si>
  <si>
    <t>Sati</t>
  </si>
  <si>
    <t>Struktura</t>
  </si>
  <si>
    <t>Indeks</t>
  </si>
  <si>
    <t>2023.</t>
  </si>
  <si>
    <t>u %</t>
  </si>
  <si>
    <t>2024.</t>
  </si>
  <si>
    <t>5/3</t>
  </si>
  <si>
    <t>1.</t>
  </si>
  <si>
    <t>Redovan rad</t>
  </si>
  <si>
    <t>2.</t>
  </si>
  <si>
    <t>Prekovremeni rad</t>
  </si>
  <si>
    <t>3.</t>
  </si>
  <si>
    <t>Noćni rad</t>
  </si>
  <si>
    <t>4.</t>
  </si>
  <si>
    <t>Rad na dane tjednog odmora - nedjelja</t>
  </si>
  <si>
    <t>5.</t>
  </si>
  <si>
    <t>Rad na državne praznike i blagdane</t>
  </si>
  <si>
    <t>6.</t>
  </si>
  <si>
    <t>Smjenski rad</t>
  </si>
  <si>
    <t>-</t>
  </si>
  <si>
    <t>I.</t>
  </si>
  <si>
    <t>Efektivni sati rada</t>
  </si>
  <si>
    <t>7.</t>
  </si>
  <si>
    <t>Godišnji odmori</t>
  </si>
  <si>
    <t>8.</t>
  </si>
  <si>
    <t>Državni praznici i blagdani</t>
  </si>
  <si>
    <t>9.</t>
  </si>
  <si>
    <t>Plaćeni dopust</t>
  </si>
  <si>
    <t>10.</t>
  </si>
  <si>
    <t>Bolovanje na teret poduzeća</t>
  </si>
  <si>
    <t>II.</t>
  </si>
  <si>
    <t>Sati naknade</t>
  </si>
  <si>
    <t>11.</t>
  </si>
  <si>
    <t>Bolovanje na teret HZZO</t>
  </si>
  <si>
    <t>12.</t>
  </si>
  <si>
    <t>Rodiljni, roditeljski, očinski dopust</t>
  </si>
  <si>
    <t>13.</t>
  </si>
  <si>
    <t>Neopravdani izostanci</t>
  </si>
  <si>
    <t>14.</t>
  </si>
  <si>
    <t>Ostalo (dežurstvo kod kuće)</t>
  </si>
  <si>
    <t>III.</t>
  </si>
  <si>
    <t>Ostali sati</t>
  </si>
  <si>
    <t>IV.</t>
  </si>
  <si>
    <t>Sveukupno sati</t>
  </si>
  <si>
    <t>(I.+II.+III.)</t>
  </si>
  <si>
    <t xml:space="preserve">U strukturi korištenja radnog vremena  udio efektivnih sati rada iznosi 59,67 %, sati naknada  iznose 13,85%, te ostali sati 26,48%. Udio redovnog rada u efektivnim satima rada  u 2024. iznosi 92,18%, a ostali efektivni sati rada odnose se na prekovremeni rad, noćni rad, te rad u dane tjednog odmora, državnih praznika i blagdana. Sati prekovremenog rada u 2024. su manji za 23 % u odnosu na 2023. godinu. </t>
  </si>
  <si>
    <r>
      <t xml:space="preserve">Ukupan broj </t>
    </r>
    <r>
      <rPr>
        <b/>
        <sz val="11"/>
        <rFont val="Times New Roman"/>
        <family val="1"/>
      </rPr>
      <t>sati naknada</t>
    </r>
    <r>
      <rPr>
        <sz val="11"/>
        <rFont val="Times New Roman"/>
        <family val="1"/>
        <charset val="238"/>
      </rPr>
      <t xml:space="preserve"> u 2024. godini u blagom je porastu u odnosu na broj sati naknada  2023. godine, iako je  u 2024. godini smanjen broj sati koji se odnose na bolovanja na teret poduzeća i broj sati za plaćeni dopust.</t>
    </r>
  </si>
  <si>
    <r>
      <t>Ukupan broj</t>
    </r>
    <r>
      <rPr>
        <b/>
        <sz val="11"/>
        <rFont val="Times New Roman"/>
        <family val="1"/>
      </rPr>
      <t xml:space="preserve"> ostalih sati </t>
    </r>
    <r>
      <rPr>
        <sz val="11"/>
        <rFont val="Times New Roman"/>
        <family val="1"/>
        <charset val="238"/>
      </rPr>
      <t>u 2024. godini povećan je u odnosu na 2023.,  gdje su sati bolovanja na teret HZZO-a  u padu za  za 14 % , a sati  roditeljskog  dopusta u porastu za 26% u odnosu na 2023.</t>
    </r>
  </si>
  <si>
    <t>II.    KOLIČINSKI  POKAZATELJI ZA 2024. GODINU</t>
  </si>
  <si>
    <t>Tabela  II. 1.</t>
  </si>
  <si>
    <t>Red. Broj</t>
  </si>
  <si>
    <t>Elementi</t>
  </si>
  <si>
    <t>Jed. mjere</t>
  </si>
  <si>
    <t>OSTVARENO 
2023.</t>
  </si>
  <si>
    <t>PLAN
2024.</t>
  </si>
  <si>
    <t>OSTVARENO 
2024.</t>
  </si>
  <si>
    <t>Indeks
6/4</t>
  </si>
  <si>
    <t>Indeks
6/5</t>
  </si>
  <si>
    <t xml:space="preserve">     VODOOPSKRBA</t>
  </si>
  <si>
    <t>Ukupno zahvaćena voda  na vodocrpilištu Šibice i  ukupno preuzeta voda od drugog javnog isporučitelja</t>
  </si>
  <si>
    <t>Zahvaćena voda na  vodocrpilištu Šibice (mjerač HV)</t>
  </si>
  <si>
    <t>m3</t>
  </si>
  <si>
    <t xml:space="preserve">Preuzeta voda od drugog isporučitelja (mm Luka) </t>
  </si>
  <si>
    <t>Ukupno predana voda u distribuciju</t>
  </si>
  <si>
    <t>DISTRIBUCIJA VODE ZAPREŠIĆ</t>
  </si>
  <si>
    <t>Ukupno prodana (isporučena) voda</t>
  </si>
  <si>
    <t>a)</t>
  </si>
  <si>
    <t xml:space="preserve">Domaćinstva </t>
  </si>
  <si>
    <t>b)</t>
  </si>
  <si>
    <t xml:space="preserve">Gospodarstvo </t>
  </si>
  <si>
    <t>c)</t>
  </si>
  <si>
    <t>Isporučena voda drugom javnom isporučitelju  - Zagorski vodovod d.o.o. - mjerno mjesto  Veliki Vrh</t>
  </si>
  <si>
    <t>d)</t>
  </si>
  <si>
    <r>
      <t xml:space="preserve">Isporučena voda drugom javnom isporučitelju-Zagorski vodovod d.o.o.- </t>
    </r>
    <r>
      <rPr>
        <sz val="9"/>
        <rFont val="Times New Roman CE"/>
        <charset val="238"/>
      </rPr>
      <t>mjerna mjesta Domahovo, Strmec, Dubravica</t>
    </r>
  </si>
  <si>
    <t>Gubici</t>
  </si>
  <si>
    <t>Gubici u % (u odnosu na zahvaćenu i preuzetu vodu )</t>
  </si>
  <si>
    <t>Broj korisnika - fiksni dio</t>
  </si>
  <si>
    <t>kom</t>
  </si>
  <si>
    <t>IZGRADNJA VODOVODNIH I KANALSKIH PRIKLJUČAKA</t>
  </si>
  <si>
    <t xml:space="preserve">Vodovodni priključci </t>
  </si>
  <si>
    <t>Kanalski priključci</t>
  </si>
  <si>
    <t xml:space="preserve">     ODVODNJA</t>
  </si>
  <si>
    <t>Odvodnja i pročišćavanje prema
potrošnji vode</t>
  </si>
  <si>
    <t>Gospodarstvo</t>
  </si>
  <si>
    <t>Gospodarstvo - agresivne vode</t>
  </si>
  <si>
    <t>Odvodnja i pročišćavanje prema mjernom
instrumentu</t>
  </si>
  <si>
    <t xml:space="preserve">Gospodarstvo- agresivne vode 
</t>
  </si>
  <si>
    <t>Čišćenje sabirnih jama</t>
  </si>
  <si>
    <t>I zona</t>
  </si>
  <si>
    <t>odvoz</t>
  </si>
  <si>
    <t>II zona</t>
  </si>
  <si>
    <t>Održavanje slivnika</t>
  </si>
  <si>
    <t>Redovito čišćenje</t>
  </si>
  <si>
    <t>Interventno čišćenje</t>
  </si>
  <si>
    <t>Odštopavanje i ispiranje oborinske odvodnje</t>
  </si>
  <si>
    <t>sat</t>
  </si>
  <si>
    <t>III. REZULTAT POSLOVANJA  ZA  2024. GODINU</t>
  </si>
  <si>
    <t>1.        RAČUN DOBITI ZA 2024. GODINU</t>
  </si>
  <si>
    <t>Tabela III. 1.</t>
  </si>
  <si>
    <t>Red.
broj</t>
  </si>
  <si>
    <t>POZICIJA</t>
  </si>
  <si>
    <t>OSTVARENO 2023.
EUR</t>
  </si>
  <si>
    <t>PLAN
2024.
EUR</t>
  </si>
  <si>
    <t>OSTVARENO 
2024.
EUR</t>
  </si>
  <si>
    <t>Indeks
5/3</t>
  </si>
  <si>
    <t>Indeks
5/4</t>
  </si>
  <si>
    <t>POSLOVNI PRIHODI</t>
  </si>
  <si>
    <t xml:space="preserve">Prihodi od obavljanja djelatnosti </t>
  </si>
  <si>
    <t>Ostali poslovni prihodi</t>
  </si>
  <si>
    <t>POSLOVNI RASHODI</t>
  </si>
  <si>
    <t>Troškovi materijala i trgovačke robe</t>
  </si>
  <si>
    <t>Troškovi energije</t>
  </si>
  <si>
    <t>Ostali  troškovi vanjskih usluga</t>
  </si>
  <si>
    <t>Troškovi osoblja</t>
  </si>
  <si>
    <t>Amortizacija</t>
  </si>
  <si>
    <t>Vrijednosno usklađenje potraživanja</t>
  </si>
  <si>
    <t>Troškovi rezerviranja</t>
  </si>
  <si>
    <t>Ostali troškovi poslovanja</t>
  </si>
  <si>
    <t>DOBIT/GUBITAK IZ POSL.AKT.</t>
  </si>
  <si>
    <t xml:space="preserve">FINANCIJSKI PRIHODI  </t>
  </si>
  <si>
    <t>Prihodi od kamata i naplaćenih kamata po ovrhama</t>
  </si>
  <si>
    <t>V.</t>
  </si>
  <si>
    <t xml:space="preserve">FINANCIJSKI RASHODI </t>
  </si>
  <si>
    <t xml:space="preserve">13. </t>
  </si>
  <si>
    <t>Zatezne kamate i kamate na kredite</t>
  </si>
  <si>
    <t>VI.</t>
  </si>
  <si>
    <t>DOBIT/GUBITAK IZ FINANC.AKT.</t>
  </si>
  <si>
    <t>VII.</t>
  </si>
  <si>
    <t xml:space="preserve">UKUPNI PRIHODI </t>
  </si>
  <si>
    <t>VIII.</t>
  </si>
  <si>
    <t xml:space="preserve">UKUPNI RASHODI </t>
  </si>
  <si>
    <t>IX.</t>
  </si>
  <si>
    <t xml:space="preserve"> DOBIT PRIJE OPOREZIVANJA</t>
  </si>
  <si>
    <t>2. SPECIFIKACIJA PRIHODA ZA 2024. GODINU</t>
  </si>
  <si>
    <t>Tabela III. 2.</t>
  </si>
  <si>
    <t xml:space="preserve">   ELEMENTI</t>
  </si>
  <si>
    <t>A.</t>
  </si>
  <si>
    <t>POSLOVNI PRIHODI (I.+II.)</t>
  </si>
  <si>
    <t>PRIHODI OD OBAVLJANJA DJELATNOSTI</t>
  </si>
  <si>
    <t>Prihod iz cijene vodne usluge</t>
  </si>
  <si>
    <t>Vodoopskrba</t>
  </si>
  <si>
    <t>Odvodnja</t>
  </si>
  <si>
    <t>Pročišćavanje</t>
  </si>
  <si>
    <t>Prihodi od usluga</t>
  </si>
  <si>
    <t>Prihodi od raznih usluga vodoopskrbe</t>
  </si>
  <si>
    <t xml:space="preserve">Prihodi od raznih usluga u odvodnji </t>
  </si>
  <si>
    <t>Prihodi od priključaka</t>
  </si>
  <si>
    <t>Prihodi s osnove upotrebe vlastitih usluga za investicije</t>
  </si>
  <si>
    <t>Prihodi od  prodane  robe sa skladišta - Zaprešić d.o.o.</t>
  </si>
  <si>
    <t>Prihodi od naplata šteta i refundacija</t>
  </si>
  <si>
    <t>Prihodi od tuđeg financiranja za obračunatu amortizaciju</t>
  </si>
  <si>
    <t>Prihod od tuđeg financiranja za pokriće ostatka knjig.vrijednosti rashodovane opreme na CUPOV-u</t>
  </si>
  <si>
    <t>OSTALI POSLOVNI PRIHODI</t>
  </si>
  <si>
    <t>Prihodi od naplaćenih potraživanja iz prethodnih razdoblja i naplaćenih troškova javnih bilježnika</t>
  </si>
  <si>
    <t>Prihodi od usluga obračuna naknada</t>
  </si>
  <si>
    <t>Ostali nespomenuti poslovni prihodi</t>
  </si>
  <si>
    <t>B.</t>
  </si>
  <si>
    <t>FINANCIJSKI PRIHODI</t>
  </si>
  <si>
    <t>C.</t>
  </si>
  <si>
    <t>UKUPNI PRIHODI  (A+B)</t>
  </si>
  <si>
    <t>3. SPECIFIKACIJA RASHODA ZA 2024. GODINU</t>
  </si>
  <si>
    <t>Tabela III. 3.</t>
  </si>
  <si>
    <t>Materijalni troškovi</t>
  </si>
  <si>
    <t>1.a.</t>
  </si>
  <si>
    <t>Materijal za izradu, popravak i održavanje</t>
  </si>
  <si>
    <t>Ostali potrošni materijal</t>
  </si>
  <si>
    <t xml:space="preserve">Trošak sitnog inventara i autoguma </t>
  </si>
  <si>
    <t>Troškovi trg. robe (prodano Zaprešić d.o.o.)</t>
  </si>
  <si>
    <t>1.b.</t>
  </si>
  <si>
    <t>Električna energija</t>
  </si>
  <si>
    <t>Gorivo (benzin, plin)</t>
  </si>
  <si>
    <t>1.c.</t>
  </si>
  <si>
    <t>Ostali vanjski troškovi - usluge</t>
  </si>
  <si>
    <t>Tekuće i investicijsko održavanje</t>
  </si>
  <si>
    <t>Usluge pri izradi dobara i obavljanju usluga</t>
  </si>
  <si>
    <t>Doprinosi na plaće</t>
  </si>
  <si>
    <t>Vrijednosno usklađenje kratk. potraž.</t>
  </si>
  <si>
    <t>Premije osiguranja</t>
  </si>
  <si>
    <t>Naknade zaposlenima</t>
  </si>
  <si>
    <t>Bankovne usluge i platni promet</t>
  </si>
  <si>
    <t>Ostali razni troškovi poslovanja</t>
  </si>
  <si>
    <t>Ostali razni troškovi poslovanja - rashod opreme (CUPOV-ostatak knjig.vrijednosti sredstava)</t>
  </si>
  <si>
    <t>Troškovi zajedničkih funkcija Zaprešić d.o.o.</t>
  </si>
  <si>
    <t>FINANCIJSKI RASHODI</t>
  </si>
  <si>
    <t>Kamata po ugovoru o zajmu</t>
  </si>
  <si>
    <t>Negativne tečajne razlike</t>
  </si>
  <si>
    <t>D.</t>
  </si>
  <si>
    <t>UKUPNI RASHODI</t>
  </si>
  <si>
    <t>4. STRUKTURA PRIHODA U 2024. GODINI</t>
  </si>
  <si>
    <t>Tabela IV.4.</t>
  </si>
  <si>
    <t>Red.</t>
  </si>
  <si>
    <t>OSTVARENO</t>
  </si>
  <si>
    <t>UDIO</t>
  </si>
  <si>
    <t>broj</t>
  </si>
  <si>
    <t>2023.
(EUR)</t>
  </si>
  <si>
    <t>2024.
(EUR)</t>
  </si>
  <si>
    <t>5. STRUKTURA RASHODA U 2024. GODINI</t>
  </si>
  <si>
    <t>Tabela IV.5.</t>
  </si>
  <si>
    <t>Vrijednosno usklađenje kratk.potraž.</t>
  </si>
  <si>
    <t>IZVANREDNI RASHODI</t>
  </si>
  <si>
    <t>UKUPNI RASHODI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</si>
</sst>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k_n_-;\-* #,##0.00\ _k_n_-;_-* &quot;-&quot;??\ _k_n_-;_-@_-"/>
    <numFmt numFmtId="165" formatCode="###\ ###\ ##0.00"/>
    <numFmt numFmtId="166" formatCode="#,##0.00_ ;\-#,##0.00\ "/>
    <numFmt numFmtId="167" formatCode="#,##0_ ;\-#,##0\ "/>
    <numFmt numFmtId="168" formatCode="###\ ###\ ##0"/>
    <numFmt numFmtId="169" formatCode="_-* #,##0.0\ _k_n_-;\-* #,##0.0\ _k_n_-;_-* &quot;-&quot;?\ _k_n_-;_-@_-"/>
    <numFmt numFmtId="170" formatCode="#\ ###\ ###\ ##0"/>
    <numFmt numFmtId="171" formatCode="#\ ###\ ##0"/>
    <numFmt numFmtId="172" formatCode="#,##0.0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b/>
      <u/>
      <sz val="15"/>
      <name val="Times New Roman"/>
      <family val="1"/>
      <charset val="238"/>
    </font>
    <font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G Times"/>
      <family val="1"/>
    </font>
    <font>
      <sz val="8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0"/>
      <name val="CG Times"/>
      <family val="1"/>
    </font>
    <font>
      <sz val="9"/>
      <name val="Times New Roman CE"/>
      <family val="1"/>
      <charset val="238"/>
    </font>
    <font>
      <sz val="11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Arial"/>
      <family val="2"/>
    </font>
    <font>
      <sz val="11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</font>
    <font>
      <sz val="9"/>
      <name val="Times New Roman CE"/>
      <charset val="238"/>
    </font>
    <font>
      <strike/>
      <sz val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Arial"/>
      <family val="2"/>
    </font>
    <font>
      <sz val="8"/>
      <name val="Arial"/>
      <family val="2"/>
    </font>
    <font>
      <b/>
      <sz val="9"/>
      <name val="Times New Roman CE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2" fillId="2" borderId="8" applyNumberFormat="0" applyFont="0" applyAlignment="0" applyProtection="0"/>
    <xf numFmtId="0" fontId="12" fillId="2" borderId="8" applyNumberFormat="0" applyFont="0" applyAlignment="0" applyProtection="0"/>
    <xf numFmtId="164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>
      <protection locked="0"/>
    </xf>
    <xf numFmtId="0" fontId="12" fillId="0" borderId="0"/>
    <xf numFmtId="0" fontId="13" fillId="0" borderId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47" fillId="0" borderId="0"/>
    <xf numFmtId="164" fontId="12" fillId="0" borderId="0" applyFont="0" applyFill="0" applyBorder="0" applyAlignment="0" applyProtection="0"/>
    <xf numFmtId="0" fontId="1" fillId="0" borderId="0"/>
  </cellStyleXfs>
  <cellXfs count="825">
    <xf numFmtId="0" fontId="0" fillId="0" borderId="0" xfId="0"/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15" fillId="0" borderId="0" xfId="1" applyFont="1"/>
    <xf numFmtId="0" fontId="17" fillId="0" borderId="0" xfId="5" applyFont="1"/>
    <xf numFmtId="0" fontId="13" fillId="0" borderId="0" xfId="5"/>
    <xf numFmtId="0" fontId="20" fillId="0" borderId="0" xfId="5" applyFont="1"/>
    <xf numFmtId="0" fontId="2" fillId="0" borderId="0" xfId="1" applyBorder="1"/>
    <xf numFmtId="0" fontId="13" fillId="0" borderId="0" xfId="5" applyFont="1" applyAlignment="1">
      <alignment horizontal="left" vertical="top" wrapText="1"/>
    </xf>
    <xf numFmtId="0" fontId="21" fillId="0" borderId="0" xfId="1" applyFont="1"/>
    <xf numFmtId="0" fontId="22" fillId="0" borderId="0" xfId="1" applyFont="1"/>
    <xf numFmtId="0" fontId="13" fillId="0" borderId="0" xfId="5" applyFont="1"/>
    <xf numFmtId="9" fontId="13" fillId="0" borderId="0" xfId="5" applyNumberFormat="1" applyFont="1"/>
    <xf numFmtId="0" fontId="23" fillId="3" borderId="0" xfId="5" applyFont="1" applyFill="1" applyBorder="1" applyAlignment="1">
      <alignment horizontal="center" wrapText="1"/>
    </xf>
    <xf numFmtId="0" fontId="20" fillId="3" borderId="1" xfId="5" applyFont="1" applyFill="1" applyBorder="1" applyAlignment="1">
      <alignment horizontal="center"/>
    </xf>
    <xf numFmtId="0" fontId="23" fillId="3" borderId="0" xfId="5" applyFont="1" applyFill="1" applyBorder="1" applyAlignment="1">
      <alignment horizontal="center"/>
    </xf>
    <xf numFmtId="0" fontId="23" fillId="3" borderId="11" xfId="5" applyFont="1" applyFill="1" applyBorder="1" applyAlignment="1">
      <alignment horizontal="center"/>
    </xf>
    <xf numFmtId="0" fontId="19" fillId="0" borderId="0" xfId="1" applyFont="1" applyAlignment="1">
      <alignment horizontal="left"/>
    </xf>
    <xf numFmtId="0" fontId="13" fillId="0" borderId="6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12" xfId="5" applyFont="1" applyFill="1" applyBorder="1" applyAlignment="1">
      <alignment horizontal="center"/>
    </xf>
    <xf numFmtId="0" fontId="13" fillId="0" borderId="13" xfId="5" applyFont="1" applyFill="1" applyBorder="1" applyAlignment="1">
      <alignment horizontal="center" vertical="center"/>
    </xf>
    <xf numFmtId="165" fontId="13" fillId="0" borderId="14" xfId="5" applyNumberFormat="1" applyFont="1" applyFill="1" applyBorder="1" applyAlignment="1">
      <alignment horizontal="center"/>
    </xf>
    <xf numFmtId="3" fontId="13" fillId="0" borderId="15" xfId="10" applyNumberFormat="1" applyFont="1" applyFill="1" applyBorder="1" applyAlignment="1">
      <alignment horizontal="center"/>
    </xf>
    <xf numFmtId="3" fontId="13" fillId="0" borderId="0" xfId="10" applyNumberFormat="1" applyFont="1" applyFill="1" applyBorder="1" applyAlignment="1">
      <alignment horizontal="center"/>
    </xf>
    <xf numFmtId="0" fontId="21" fillId="0" borderId="0" xfId="1" applyFont="1" applyFill="1"/>
    <xf numFmtId="0" fontId="22" fillId="0" borderId="0" xfId="1" applyFont="1" applyFill="1"/>
    <xf numFmtId="0" fontId="19" fillId="0" borderId="0" xfId="1" applyFont="1" applyFill="1" applyAlignment="1">
      <alignment horizontal="left"/>
    </xf>
    <xf numFmtId="0" fontId="13" fillId="0" borderId="14" xfId="5" applyFont="1" applyFill="1" applyBorder="1" applyAlignment="1">
      <alignment horizontal="center"/>
    </xf>
    <xf numFmtId="1" fontId="13" fillId="0" borderId="15" xfId="5" applyNumberFormat="1" applyFont="1" applyFill="1" applyBorder="1" applyAlignment="1">
      <alignment horizontal="center"/>
    </xf>
    <xf numFmtId="165" fontId="13" fillId="0" borderId="15" xfId="5" applyNumberFormat="1" applyFont="1" applyFill="1" applyBorder="1" applyAlignment="1">
      <alignment horizontal="center"/>
    </xf>
    <xf numFmtId="0" fontId="24" fillId="0" borderId="0" xfId="1" applyFont="1" applyFill="1"/>
    <xf numFmtId="0" fontId="13" fillId="0" borderId="16" xfId="5" applyFont="1" applyFill="1" applyBorder="1" applyAlignment="1">
      <alignment horizontal="center"/>
    </xf>
    <xf numFmtId="1" fontId="13" fillId="0" borderId="17" xfId="5" applyNumberFormat="1" applyFont="1" applyFill="1" applyBorder="1" applyAlignment="1">
      <alignment horizontal="center"/>
    </xf>
    <xf numFmtId="3" fontId="13" fillId="0" borderId="17" xfId="10" applyNumberFormat="1" applyFont="1" applyFill="1" applyBorder="1" applyAlignment="1">
      <alignment horizontal="center"/>
    </xf>
    <xf numFmtId="0" fontId="13" fillId="0" borderId="18" xfId="5" applyFont="1" applyFill="1" applyBorder="1" applyAlignment="1">
      <alignment horizontal="center"/>
    </xf>
    <xf numFmtId="1" fontId="13" fillId="0" borderId="19" xfId="5" applyNumberFormat="1" applyFont="1" applyFill="1" applyBorder="1" applyAlignment="1">
      <alignment horizontal="center"/>
    </xf>
    <xf numFmtId="165" fontId="13" fillId="0" borderId="18" xfId="5" applyNumberFormat="1" applyFont="1" applyFill="1" applyBorder="1" applyAlignment="1">
      <alignment horizontal="center"/>
    </xf>
    <xf numFmtId="0" fontId="20" fillId="0" borderId="20" xfId="5" applyFont="1" applyBorder="1" applyAlignment="1">
      <alignment horizontal="center"/>
    </xf>
    <xf numFmtId="1" fontId="20" fillId="0" borderId="21" xfId="5" applyNumberFormat="1" applyFont="1" applyFill="1" applyBorder="1" applyAlignment="1">
      <alignment horizontal="center"/>
    </xf>
    <xf numFmtId="2" fontId="20" fillId="0" borderId="21" xfId="5" applyNumberFormat="1" applyFont="1" applyFill="1" applyBorder="1" applyAlignment="1">
      <alignment horizontal="center"/>
    </xf>
    <xf numFmtId="164" fontId="20" fillId="0" borderId="21" xfId="10" applyFont="1" applyFill="1" applyBorder="1" applyAlignment="1">
      <alignment horizontal="center"/>
    </xf>
    <xf numFmtId="3" fontId="23" fillId="0" borderId="20" xfId="10" applyNumberFormat="1" applyFont="1" applyBorder="1" applyAlignment="1">
      <alignment horizontal="center"/>
    </xf>
    <xf numFmtId="3" fontId="23" fillId="0" borderId="0" xfId="10" applyNumberFormat="1" applyFont="1" applyBorder="1" applyAlignment="1">
      <alignment horizontal="center"/>
    </xf>
    <xf numFmtId="0" fontId="25" fillId="0" borderId="0" xfId="1" applyFont="1"/>
    <xf numFmtId="0" fontId="27" fillId="0" borderId="0" xfId="1" applyFont="1"/>
    <xf numFmtId="0" fontId="13" fillId="0" borderId="0" xfId="5" applyFont="1" applyAlignment="1">
      <alignment horizontal="center"/>
    </xf>
    <xf numFmtId="0" fontId="13" fillId="0" borderId="0" xfId="5" applyFont="1" applyBorder="1" applyAlignment="1">
      <alignment horizontal="left" wrapText="1"/>
    </xf>
    <xf numFmtId="0" fontId="28" fillId="0" borderId="0" xfId="5" applyFont="1" applyAlignment="1">
      <alignment horizontal="center"/>
    </xf>
    <xf numFmtId="0" fontId="28" fillId="0" borderId="0" xfId="1" applyFont="1"/>
    <xf numFmtId="0" fontId="28" fillId="0" borderId="0" xfId="5" applyFont="1" applyBorder="1" applyAlignment="1">
      <alignment horizontal="left" wrapText="1"/>
    </xf>
    <xf numFmtId="0" fontId="28" fillId="0" borderId="0" xfId="5" applyFont="1" applyAlignment="1">
      <alignment horizontal="left"/>
    </xf>
    <xf numFmtId="0" fontId="28" fillId="0" borderId="0" xfId="1" applyFont="1" applyAlignment="1">
      <alignment horizontal="left"/>
    </xf>
    <xf numFmtId="0" fontId="29" fillId="0" borderId="0" xfId="5" applyFont="1" applyBorder="1" applyAlignment="1">
      <alignment horizontal="left"/>
    </xf>
    <xf numFmtId="0" fontId="14" fillId="0" borderId="0" xfId="5" applyFont="1" applyAlignment="1">
      <alignment horizontal="center"/>
    </xf>
    <xf numFmtId="0" fontId="16" fillId="0" borderId="0" xfId="1" applyFont="1" applyAlignment="1">
      <alignment horizontal="left"/>
    </xf>
    <xf numFmtId="0" fontId="24" fillId="0" borderId="0" xfId="1" applyFont="1" applyAlignment="1">
      <alignment horizontal="left" wrapText="1"/>
    </xf>
    <xf numFmtId="0" fontId="2" fillId="0" borderId="22" xfId="1" applyBorder="1"/>
    <xf numFmtId="1" fontId="13" fillId="0" borderId="0" xfId="1" applyNumberFormat="1" applyFont="1"/>
    <xf numFmtId="0" fontId="13" fillId="0" borderId="0" xfId="1" applyFont="1"/>
    <xf numFmtId="0" fontId="13" fillId="0" borderId="0" xfId="5" applyFont="1" applyFill="1" applyBorder="1" applyAlignment="1">
      <alignment horizontal="left"/>
    </xf>
    <xf numFmtId="1" fontId="13" fillId="0" borderId="0" xfId="5" applyNumberFormat="1" applyFont="1"/>
    <xf numFmtId="0" fontId="13" fillId="0" borderId="27" xfId="5" applyFont="1" applyBorder="1" applyAlignment="1">
      <alignment horizontal="left"/>
    </xf>
    <xf numFmtId="0" fontId="13" fillId="0" borderId="27" xfId="5" applyFont="1" applyBorder="1" applyAlignment="1">
      <alignment horizontal="center"/>
    </xf>
    <xf numFmtId="0" fontId="13" fillId="0" borderId="0" xfId="5" applyFont="1" applyBorder="1" applyAlignment="1">
      <alignment horizontal="center"/>
    </xf>
    <xf numFmtId="1" fontId="13" fillId="0" borderId="0" xfId="5" applyNumberFormat="1" applyFont="1" applyBorder="1" applyAlignment="1">
      <alignment horizontal="center"/>
    </xf>
    <xf numFmtId="1" fontId="23" fillId="0" borderId="20" xfId="5" applyNumberFormat="1" applyFont="1" applyBorder="1" applyAlignment="1">
      <alignment horizontal="center"/>
    </xf>
    <xf numFmtId="1" fontId="27" fillId="0" borderId="20" xfId="1" applyNumberFormat="1" applyFont="1" applyBorder="1" applyAlignment="1">
      <alignment horizontal="center"/>
    </xf>
    <xf numFmtId="0" fontId="26" fillId="0" borderId="0" xfId="5" applyFont="1" applyBorder="1" applyAlignment="1">
      <alignment horizontal="left" wrapText="1"/>
    </xf>
    <xf numFmtId="0" fontId="31" fillId="0" borderId="0" xfId="1" applyFont="1"/>
    <xf numFmtId="1" fontId="30" fillId="0" borderId="32" xfId="5" applyNumberFormat="1" applyFont="1" applyBorder="1" applyAlignment="1">
      <alignment horizontal="center" vertical="center"/>
    </xf>
    <xf numFmtId="1" fontId="30" fillId="0" borderId="6" xfId="5" applyNumberFormat="1" applyFont="1" applyBorder="1" applyAlignment="1">
      <alignment horizontal="center" vertical="center"/>
    </xf>
    <xf numFmtId="0" fontId="32" fillId="0" borderId="0" xfId="5" applyFont="1" applyFill="1" applyBorder="1" applyAlignment="1">
      <alignment horizontal="left" vertical="center"/>
    </xf>
    <xf numFmtId="0" fontId="33" fillId="0" borderId="0" xfId="1" applyFont="1"/>
    <xf numFmtId="0" fontId="34" fillId="0" borderId="33" xfId="5" quotePrefix="1" applyFont="1" applyBorder="1" applyAlignment="1">
      <alignment horizontal="left"/>
    </xf>
    <xf numFmtId="0" fontId="13" fillId="0" borderId="34" xfId="5" applyFont="1" applyBorder="1" applyAlignment="1">
      <alignment horizontal="center"/>
    </xf>
    <xf numFmtId="1" fontId="34" fillId="0" borderId="14" xfId="5" applyNumberFormat="1" applyFont="1" applyFill="1" applyBorder="1" applyAlignment="1">
      <alignment horizontal="center"/>
    </xf>
    <xf numFmtId="1" fontId="34" fillId="0" borderId="14" xfId="5" applyNumberFormat="1" applyFont="1" applyBorder="1" applyAlignment="1">
      <alignment horizontal="center"/>
    </xf>
    <xf numFmtId="1" fontId="34" fillId="0" borderId="12" xfId="5" applyNumberFormat="1" applyFont="1" applyFill="1" applyBorder="1" applyAlignment="1">
      <alignment horizontal="center"/>
    </xf>
    <xf numFmtId="3" fontId="19" fillId="0" borderId="0" xfId="10" applyNumberFormat="1" applyFont="1" applyFill="1" applyBorder="1" applyAlignment="1">
      <alignment horizontal="left"/>
    </xf>
    <xf numFmtId="3" fontId="19" fillId="0" borderId="0" xfId="5" applyNumberFormat="1" applyFont="1" applyFill="1" applyBorder="1" applyAlignment="1">
      <alignment horizontal="left"/>
    </xf>
    <xf numFmtId="0" fontId="13" fillId="0" borderId="35" xfId="5" quotePrefix="1" applyFont="1" applyBorder="1" applyAlignment="1">
      <alignment horizontal="left"/>
    </xf>
    <xf numFmtId="0" fontId="13" fillId="0" borderId="36" xfId="5" applyFont="1" applyBorder="1" applyAlignment="1">
      <alignment horizontal="center"/>
    </xf>
    <xf numFmtId="1" fontId="34" fillId="0" borderId="16" xfId="5" applyNumberFormat="1" applyFont="1" applyFill="1" applyBorder="1" applyAlignment="1">
      <alignment horizontal="center"/>
    </xf>
    <xf numFmtId="1" fontId="13" fillId="0" borderId="16" xfId="5" applyNumberFormat="1" applyFont="1" applyBorder="1" applyAlignment="1">
      <alignment horizontal="center"/>
    </xf>
    <xf numFmtId="0" fontId="13" fillId="0" borderId="35" xfId="5" applyFont="1" applyBorder="1" applyAlignment="1">
      <alignment horizontal="left"/>
    </xf>
    <xf numFmtId="0" fontId="13" fillId="0" borderId="37" xfId="5" applyFont="1" applyBorder="1" applyAlignment="1">
      <alignment horizontal="center"/>
    </xf>
    <xf numFmtId="0" fontId="13" fillId="0" borderId="38" xfId="5" applyFont="1" applyBorder="1" applyAlignment="1">
      <alignment horizontal="left"/>
    </xf>
    <xf numFmtId="1" fontId="34" fillId="0" borderId="18" xfId="5" applyNumberFormat="1" applyFont="1" applyBorder="1" applyAlignment="1">
      <alignment horizontal="center"/>
    </xf>
    <xf numFmtId="1" fontId="13" fillId="0" borderId="18" xfId="5" applyNumberFormat="1" applyFont="1" applyBorder="1" applyAlignment="1">
      <alignment horizontal="center"/>
    </xf>
    <xf numFmtId="1" fontId="34" fillId="0" borderId="6" xfId="5" applyNumberFormat="1" applyFont="1" applyBorder="1" applyAlignment="1">
      <alignment horizontal="center"/>
    </xf>
    <xf numFmtId="0" fontId="23" fillId="3" borderId="28" xfId="5" applyFont="1" applyFill="1" applyBorder="1" applyAlignment="1">
      <alignment horizontal="left"/>
    </xf>
    <xf numFmtId="0" fontId="25" fillId="0" borderId="29" xfId="1" applyFont="1" applyBorder="1"/>
    <xf numFmtId="167" fontId="27" fillId="0" borderId="20" xfId="1" applyNumberFormat="1" applyFont="1" applyBorder="1" applyAlignment="1">
      <alignment horizontal="center"/>
    </xf>
    <xf numFmtId="167" fontId="27" fillId="0" borderId="11" xfId="1" applyNumberFormat="1" applyFont="1" applyBorder="1" applyAlignment="1">
      <alignment horizontal="center"/>
    </xf>
    <xf numFmtId="0" fontId="22" fillId="0" borderId="0" xfId="1" applyFont="1" applyBorder="1"/>
    <xf numFmtId="1" fontId="22" fillId="0" borderId="0" xfId="1" applyNumberFormat="1" applyFont="1" applyBorder="1"/>
    <xf numFmtId="3" fontId="13" fillId="0" borderId="0" xfId="5" applyNumberFormat="1" applyFont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22" fillId="4" borderId="0" xfId="1" applyFont="1" applyFill="1"/>
    <xf numFmtId="0" fontId="35" fillId="0" borderId="0" xfId="5" applyFont="1" applyFill="1" applyBorder="1" applyAlignment="1">
      <alignment horizontal="center"/>
    </xf>
    <xf numFmtId="0" fontId="35" fillId="0" borderId="0" xfId="1" applyFont="1"/>
    <xf numFmtId="1" fontId="36" fillId="0" borderId="0" xfId="1" applyNumberFormat="1" applyFont="1"/>
    <xf numFmtId="0" fontId="36" fillId="0" borderId="0" xfId="1" applyFont="1"/>
    <xf numFmtId="1" fontId="21" fillId="0" borderId="0" xfId="1" applyNumberFormat="1" applyFont="1"/>
    <xf numFmtId="0" fontId="13" fillId="0" borderId="0" xfId="5" applyFont="1" applyBorder="1" applyAlignment="1">
      <alignment horizontal="left"/>
    </xf>
    <xf numFmtId="0" fontId="37" fillId="0" borderId="0" xfId="1" applyFont="1"/>
    <xf numFmtId="0" fontId="13" fillId="0" borderId="1" xfId="5" applyFont="1" applyBorder="1" applyAlignment="1">
      <alignment horizontal="left"/>
    </xf>
    <xf numFmtId="0" fontId="20" fillId="0" borderId="6" xfId="5" applyFont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2" xfId="5" quotePrefix="1" applyFont="1" applyBorder="1" applyAlignment="1">
      <alignment horizontal="center"/>
    </xf>
    <xf numFmtId="0" fontId="20" fillId="0" borderId="2" xfId="5" quotePrefix="1" applyFont="1" applyFill="1" applyBorder="1" applyAlignment="1">
      <alignment horizontal="center"/>
    </xf>
    <xf numFmtId="0" fontId="30" fillId="0" borderId="2" xfId="5" quotePrefix="1" applyFont="1" applyBorder="1" applyAlignment="1">
      <alignment horizontal="center"/>
    </xf>
    <xf numFmtId="0" fontId="30" fillId="0" borderId="2" xfId="5" applyFont="1" applyBorder="1" applyAlignment="1">
      <alignment horizontal="center"/>
    </xf>
    <xf numFmtId="0" fontId="30" fillId="0" borderId="2" xfId="5" applyFont="1" applyFill="1" applyBorder="1" applyAlignment="1">
      <alignment horizontal="center"/>
    </xf>
    <xf numFmtId="0" fontId="32" fillId="0" borderId="0" xfId="1" applyFont="1" applyFill="1" applyAlignment="1">
      <alignment horizontal="left"/>
    </xf>
    <xf numFmtId="0" fontId="38" fillId="0" borderId="0" xfId="1" applyFont="1"/>
    <xf numFmtId="0" fontId="20" fillId="0" borderId="20" xfId="5" applyFont="1" applyBorder="1" applyAlignment="1">
      <alignment horizontal="left"/>
    </xf>
    <xf numFmtId="0" fontId="23" fillId="0" borderId="20" xfId="5" applyFont="1" applyBorder="1" applyAlignment="1">
      <alignment horizontal="center"/>
    </xf>
    <xf numFmtId="0" fontId="13" fillId="0" borderId="20" xfId="5" applyFont="1" applyBorder="1" applyAlignment="1">
      <alignment horizontal="center"/>
    </xf>
    <xf numFmtId="0" fontId="13" fillId="0" borderId="20" xfId="5" applyFont="1" applyFill="1" applyBorder="1" applyAlignment="1">
      <alignment horizontal="center"/>
    </xf>
    <xf numFmtId="0" fontId="20" fillId="0" borderId="6" xfId="5" applyFont="1" applyBorder="1" applyAlignment="1">
      <alignment horizontal="left"/>
    </xf>
    <xf numFmtId="1" fontId="23" fillId="0" borderId="6" xfId="5" applyNumberFormat="1" applyFont="1" applyBorder="1" applyAlignment="1">
      <alignment horizontal="center"/>
    </xf>
    <xf numFmtId="1" fontId="23" fillId="0" borderId="6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vertical="top" wrapText="1"/>
    </xf>
    <xf numFmtId="1" fontId="22" fillId="0" borderId="0" xfId="1" applyNumberFormat="1" applyFont="1" applyFill="1"/>
    <xf numFmtId="0" fontId="30" fillId="0" borderId="32" xfId="5" applyFont="1" applyFill="1" applyBorder="1" applyAlignment="1">
      <alignment horizontal="center" vertical="center"/>
    </xf>
    <xf numFmtId="1" fontId="3" fillId="0" borderId="0" xfId="1" applyNumberFormat="1" applyFont="1" applyFill="1"/>
    <xf numFmtId="0" fontId="3" fillId="0" borderId="0" xfId="1" applyFont="1" applyFill="1"/>
    <xf numFmtId="0" fontId="23" fillId="0" borderId="20" xfId="5" applyFont="1" applyFill="1" applyBorder="1" applyAlignment="1">
      <alignment horizontal="center"/>
    </xf>
    <xf numFmtId="0" fontId="23" fillId="0" borderId="0" xfId="5" applyFont="1" applyFill="1" applyBorder="1" applyAlignment="1">
      <alignment horizontal="center"/>
    </xf>
    <xf numFmtId="1" fontId="27" fillId="0" borderId="0" xfId="1" applyNumberFormat="1" applyFont="1" applyFill="1" applyBorder="1" applyAlignment="1">
      <alignment horizontal="center"/>
    </xf>
    <xf numFmtId="0" fontId="34" fillId="0" borderId="0" xfId="5" applyFont="1" applyFill="1" applyBorder="1" applyAlignment="1">
      <alignment horizontal="left"/>
    </xf>
    <xf numFmtId="0" fontId="21" fillId="0" borderId="27" xfId="1" applyFont="1" applyBorder="1"/>
    <xf numFmtId="1" fontId="21" fillId="0" borderId="27" xfId="1" applyNumberFormat="1" applyFont="1" applyBorder="1"/>
    <xf numFmtId="0" fontId="19" fillId="0" borderId="22" xfId="1" applyFont="1" applyBorder="1" applyAlignment="1">
      <alignment horizontal="left"/>
    </xf>
    <xf numFmtId="1" fontId="2" fillId="0" borderId="0" xfId="1" applyNumberFormat="1"/>
    <xf numFmtId="0" fontId="10" fillId="0" borderId="0" xfId="1" applyFont="1" applyAlignment="1">
      <alignment horizontal="right"/>
    </xf>
    <xf numFmtId="0" fontId="27" fillId="0" borderId="0" xfId="5" applyFont="1" applyFill="1" applyBorder="1"/>
    <xf numFmtId="0" fontId="39" fillId="0" borderId="0" xfId="5" applyFont="1" applyBorder="1" applyAlignment="1">
      <alignment horizontal="center"/>
    </xf>
    <xf numFmtId="0" fontId="39" fillId="0" borderId="0" xfId="5" applyFont="1" applyFill="1" applyBorder="1" applyAlignment="1">
      <alignment horizontal="center"/>
    </xf>
    <xf numFmtId="0" fontId="39" fillId="0" borderId="0" xfId="1" applyFont="1" applyFill="1"/>
    <xf numFmtId="0" fontId="39" fillId="0" borderId="0" xfId="1" applyFont="1"/>
    <xf numFmtId="0" fontId="39" fillId="0" borderId="0" xfId="1" applyFont="1" applyAlignment="1">
      <alignment horizontal="center"/>
    </xf>
    <xf numFmtId="0" fontId="24" fillId="0" borderId="0" xfId="5" applyFont="1"/>
    <xf numFmtId="0" fontId="24" fillId="0" borderId="0" xfId="5" applyFont="1" applyFill="1" applyAlignment="1">
      <alignment horizontal="center"/>
    </xf>
    <xf numFmtId="0" fontId="24" fillId="0" borderId="0" xfId="1" applyFont="1"/>
    <xf numFmtId="0" fontId="24" fillId="0" borderId="0" xfId="1" applyFont="1" applyAlignment="1">
      <alignment horizontal="center"/>
    </xf>
    <xf numFmtId="0" fontId="27" fillId="3" borderId="1" xfId="5" applyFont="1" applyFill="1" applyBorder="1"/>
    <xf numFmtId="0" fontId="27" fillId="0" borderId="1" xfId="5" applyFont="1" applyFill="1" applyBorder="1" applyAlignment="1">
      <alignment horizontal="center"/>
    </xf>
    <xf numFmtId="0" fontId="27" fillId="3" borderId="3" xfId="5" applyFont="1" applyFill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3" borderId="6" xfId="5" applyFont="1" applyFill="1" applyBorder="1"/>
    <xf numFmtId="0" fontId="27" fillId="0" borderId="4" xfId="5" applyFont="1" applyFill="1" applyBorder="1" applyAlignment="1">
      <alignment horizontal="center"/>
    </xf>
    <xf numFmtId="0" fontId="27" fillId="3" borderId="5" xfId="5" applyFont="1" applyFill="1" applyBorder="1" applyAlignment="1">
      <alignment horizontal="center"/>
    </xf>
    <xf numFmtId="16" fontId="27" fillId="0" borderId="6" xfId="1" quotePrefix="1" applyNumberFormat="1" applyFont="1" applyBorder="1" applyAlignment="1">
      <alignment horizontal="center"/>
    </xf>
    <xf numFmtId="0" fontId="39" fillId="0" borderId="0" xfId="1" applyFont="1" applyAlignment="1">
      <alignment horizontal="right"/>
    </xf>
    <xf numFmtId="0" fontId="42" fillId="0" borderId="20" xfId="5" applyFont="1" applyBorder="1" applyAlignment="1">
      <alignment horizontal="center"/>
    </xf>
    <xf numFmtId="0" fontId="42" fillId="0" borderId="20" xfId="1" applyFont="1" applyBorder="1" applyAlignment="1">
      <alignment horizontal="center"/>
    </xf>
    <xf numFmtId="0" fontId="42" fillId="0" borderId="20" xfId="5" applyFont="1" applyFill="1" applyBorder="1" applyAlignment="1">
      <alignment horizontal="center"/>
    </xf>
    <xf numFmtId="0" fontId="42" fillId="0" borderId="21" xfId="5" applyFont="1" applyBorder="1" applyAlignment="1">
      <alignment horizontal="center"/>
    </xf>
    <xf numFmtId="0" fontId="41" fillId="0" borderId="0" xfId="1" applyFont="1" applyAlignment="1">
      <alignment horizontal="right"/>
    </xf>
    <xf numFmtId="0" fontId="24" fillId="0" borderId="14" xfId="5" applyFont="1" applyBorder="1" applyAlignment="1">
      <alignment horizontal="center"/>
    </xf>
    <xf numFmtId="0" fontId="24" fillId="0" borderId="14" xfId="5" applyFont="1" applyBorder="1"/>
    <xf numFmtId="168" fontId="24" fillId="0" borderId="14" xfId="5" applyNumberFormat="1" applyFont="1" applyFill="1" applyBorder="1" applyAlignment="1">
      <alignment horizontal="center"/>
    </xf>
    <xf numFmtId="165" fontId="24" fillId="0" borderId="14" xfId="5" applyNumberFormat="1" applyFont="1" applyBorder="1" applyAlignment="1">
      <alignment horizontal="center"/>
    </xf>
    <xf numFmtId="1" fontId="39" fillId="0" borderId="4" xfId="1" applyNumberFormat="1" applyFont="1" applyBorder="1" applyAlignment="1">
      <alignment horizontal="center"/>
    </xf>
    <xf numFmtId="0" fontId="24" fillId="0" borderId="16" xfId="5" applyFont="1" applyBorder="1" applyAlignment="1">
      <alignment horizontal="center"/>
    </xf>
    <xf numFmtId="0" fontId="24" fillId="0" borderId="16" xfId="5" applyFont="1" applyBorder="1"/>
    <xf numFmtId="168" fontId="24" fillId="0" borderId="16" xfId="5" applyNumberFormat="1" applyFont="1" applyFill="1" applyBorder="1" applyAlignment="1">
      <alignment horizontal="center"/>
    </xf>
    <xf numFmtId="165" fontId="24" fillId="0" borderId="16" xfId="5" applyNumberFormat="1" applyFont="1" applyBorder="1" applyAlignment="1">
      <alignment horizontal="center"/>
    </xf>
    <xf numFmtId="1" fontId="39" fillId="0" borderId="16" xfId="1" applyNumberFormat="1" applyFont="1" applyBorder="1" applyAlignment="1">
      <alignment horizontal="center"/>
    </xf>
    <xf numFmtId="0" fontId="41" fillId="0" borderId="0" xfId="1" quotePrefix="1" applyFont="1" applyAlignment="1">
      <alignment horizontal="right"/>
    </xf>
    <xf numFmtId="0" fontId="24" fillId="0" borderId="16" xfId="5" applyFont="1" applyBorder="1" applyAlignment="1">
      <alignment wrapText="1"/>
    </xf>
    <xf numFmtId="0" fontId="24" fillId="0" borderId="43" xfId="5" applyFont="1" applyBorder="1" applyAlignment="1">
      <alignment horizontal="center"/>
    </xf>
    <xf numFmtId="0" fontId="24" fillId="0" borderId="43" xfId="5" applyFont="1" applyBorder="1" applyAlignment="1">
      <alignment wrapText="1"/>
    </xf>
    <xf numFmtId="169" fontId="24" fillId="0" borderId="43" xfId="5" applyNumberFormat="1" applyFont="1" applyFill="1" applyBorder="1" applyAlignment="1">
      <alignment horizontal="center"/>
    </xf>
    <xf numFmtId="169" fontId="24" fillId="0" borderId="43" xfId="5" applyNumberFormat="1" applyFont="1" applyBorder="1" applyAlignment="1">
      <alignment horizontal="center"/>
    </xf>
    <xf numFmtId="165" fontId="24" fillId="0" borderId="43" xfId="5" applyNumberFormat="1" applyFont="1" applyBorder="1" applyAlignment="1">
      <alignment horizontal="center"/>
    </xf>
    <xf numFmtId="1" fontId="39" fillId="0" borderId="43" xfId="1" applyNumberFormat="1" applyFont="1" applyBorder="1" applyAlignment="1">
      <alignment horizontal="center"/>
    </xf>
    <xf numFmtId="0" fontId="41" fillId="0" borderId="0" xfId="1" applyFont="1" applyFill="1" applyAlignment="1">
      <alignment horizontal="right"/>
    </xf>
    <xf numFmtId="0" fontId="27" fillId="0" borderId="2" xfId="5" applyFont="1" applyFill="1" applyBorder="1" applyAlignment="1">
      <alignment horizontal="center"/>
    </xf>
    <xf numFmtId="0" fontId="27" fillId="0" borderId="2" xfId="5" applyFont="1" applyFill="1" applyBorder="1"/>
    <xf numFmtId="168" fontId="27" fillId="0" borderId="2" xfId="5" applyNumberFormat="1" applyFont="1" applyFill="1" applyBorder="1" applyAlignment="1">
      <alignment horizontal="center"/>
    </xf>
    <xf numFmtId="165" fontId="27" fillId="0" borderId="2" xfId="5" applyNumberFormat="1" applyFont="1" applyFill="1" applyBorder="1" applyAlignment="1">
      <alignment horizontal="center"/>
    </xf>
    <xf numFmtId="1" fontId="40" fillId="0" borderId="2" xfId="1" applyNumberFormat="1" applyFont="1" applyFill="1" applyBorder="1" applyAlignment="1">
      <alignment horizontal="center"/>
    </xf>
    <xf numFmtId="1" fontId="39" fillId="0" borderId="14" xfId="1" applyNumberFormat="1" applyFont="1" applyBorder="1" applyAlignment="1">
      <alignment horizontal="center"/>
    </xf>
    <xf numFmtId="0" fontId="24" fillId="0" borderId="43" xfId="5" applyFont="1" applyBorder="1"/>
    <xf numFmtId="168" fontId="24" fillId="0" borderId="43" xfId="5" applyNumberFormat="1" applyFont="1" applyFill="1" applyBorder="1" applyAlignment="1">
      <alignment horizontal="center"/>
    </xf>
    <xf numFmtId="0" fontId="24" fillId="0" borderId="16" xfId="5" applyFont="1" applyFill="1" applyBorder="1"/>
    <xf numFmtId="3" fontId="24" fillId="0" borderId="16" xfId="5" applyNumberFormat="1" applyFont="1" applyFill="1" applyBorder="1" applyAlignment="1">
      <alignment horizontal="center"/>
    </xf>
    <xf numFmtId="1" fontId="24" fillId="0" borderId="16" xfId="5" applyNumberFormat="1" applyFont="1" applyFill="1" applyBorder="1" applyAlignment="1">
      <alignment horizontal="center"/>
    </xf>
    <xf numFmtId="169" fontId="24" fillId="0" borderId="16" xfId="5" applyNumberFormat="1" applyFont="1" applyBorder="1" applyAlignment="1">
      <alignment horizontal="center"/>
    </xf>
    <xf numFmtId="0" fontId="27" fillId="0" borderId="2" xfId="5" applyFont="1" applyBorder="1" applyAlignment="1">
      <alignment horizontal="center"/>
    </xf>
    <xf numFmtId="0" fontId="27" fillId="0" borderId="2" xfId="5" applyFont="1" applyBorder="1"/>
    <xf numFmtId="165" fontId="27" fillId="0" borderId="2" xfId="5" applyNumberFormat="1" applyFont="1" applyBorder="1" applyAlignment="1">
      <alignment horizontal="center"/>
    </xf>
    <xf numFmtId="168" fontId="24" fillId="0" borderId="4" xfId="5" applyNumberFormat="1" applyFont="1" applyFill="1" applyBorder="1" applyAlignment="1">
      <alignment horizontal="center"/>
    </xf>
    <xf numFmtId="0" fontId="24" fillId="3" borderId="4" xfId="5" applyFont="1" applyFill="1" applyBorder="1" applyAlignment="1">
      <alignment horizontal="center"/>
    </xf>
    <xf numFmtId="0" fontId="42" fillId="3" borderId="6" xfId="5" applyFont="1" applyFill="1" applyBorder="1" applyAlignment="1">
      <alignment horizontal="center"/>
    </xf>
    <xf numFmtId="168" fontId="27" fillId="0" borderId="6" xfId="5" applyNumberFormat="1" applyFont="1" applyFill="1" applyBorder="1" applyAlignment="1">
      <alignment horizontal="center"/>
    </xf>
    <xf numFmtId="4" fontId="27" fillId="3" borderId="6" xfId="5" applyNumberFormat="1" applyFont="1" applyFill="1" applyBorder="1" applyAlignment="1">
      <alignment horizontal="center"/>
    </xf>
    <xf numFmtId="0" fontId="39" fillId="0" borderId="0" xfId="5" applyFont="1"/>
    <xf numFmtId="0" fontId="39" fillId="0" borderId="0" xfId="5" applyFont="1" applyFill="1" applyAlignment="1">
      <alignment horizontal="center"/>
    </xf>
    <xf numFmtId="168" fontId="39" fillId="0" borderId="0" xfId="1" applyNumberFormat="1" applyFont="1" applyFill="1"/>
    <xf numFmtId="0" fontId="39" fillId="0" borderId="0" xfId="1" applyFont="1" applyBorder="1"/>
    <xf numFmtId="0" fontId="39" fillId="0" borderId="0" xfId="1" applyFont="1" applyFill="1" applyBorder="1"/>
    <xf numFmtId="0" fontId="39" fillId="0" borderId="0" xfId="1" applyFont="1" applyBorder="1" applyAlignment="1">
      <alignment horizontal="center"/>
    </xf>
    <xf numFmtId="0" fontId="10" fillId="0" borderId="22" xfId="1" applyFont="1" applyBorder="1" applyAlignment="1">
      <alignment horizontal="right"/>
    </xf>
    <xf numFmtId="0" fontId="39" fillId="0" borderId="22" xfId="1" applyFont="1" applyBorder="1"/>
    <xf numFmtId="0" fontId="39" fillId="0" borderId="22" xfId="1" applyFont="1" applyFill="1" applyBorder="1"/>
    <xf numFmtId="0" fontId="39" fillId="0" borderId="22" xfId="1" applyFont="1" applyBorder="1" applyAlignment="1">
      <alignment horizontal="center"/>
    </xf>
    <xf numFmtId="0" fontId="12" fillId="0" borderId="0" xfId="6"/>
    <xf numFmtId="0" fontId="12" fillId="0" borderId="0" xfId="6" applyFill="1"/>
    <xf numFmtId="0" fontId="12" fillId="0" borderId="0" xfId="6" applyFill="1" applyAlignment="1">
      <alignment horizontal="center" vertical="center"/>
    </xf>
    <xf numFmtId="0" fontId="14" fillId="0" borderId="0" xfId="5" applyFont="1"/>
    <xf numFmtId="0" fontId="23" fillId="0" borderId="0" xfId="5" applyFont="1"/>
    <xf numFmtId="0" fontId="44" fillId="0" borderId="0" xfId="5" applyFont="1"/>
    <xf numFmtId="0" fontId="44" fillId="0" borderId="0" xfId="5" applyFont="1" applyFill="1"/>
    <xf numFmtId="0" fontId="44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center"/>
    </xf>
    <xf numFmtId="0" fontId="13" fillId="0" borderId="0" xfId="5" applyFill="1"/>
    <xf numFmtId="0" fontId="13" fillId="0" borderId="0" xfId="5" applyFill="1" applyAlignment="1">
      <alignment horizontal="center" vertical="center"/>
    </xf>
    <xf numFmtId="0" fontId="14" fillId="0" borderId="0" xfId="5" applyFont="1" applyFill="1"/>
    <xf numFmtId="0" fontId="14" fillId="0" borderId="0" xfId="5" applyFont="1" applyFill="1" applyAlignment="1">
      <alignment horizontal="center" vertical="center"/>
    </xf>
    <xf numFmtId="170" fontId="14" fillId="0" borderId="0" xfId="5" applyNumberFormat="1" applyFont="1" applyFill="1"/>
    <xf numFmtId="0" fontId="14" fillId="0" borderId="0" xfId="5" applyFont="1" applyAlignment="1">
      <alignment vertical="center"/>
    </xf>
    <xf numFmtId="0" fontId="12" fillId="0" borderId="0" xfId="6" applyAlignment="1">
      <alignment vertical="center"/>
    </xf>
    <xf numFmtId="1" fontId="18" fillId="0" borderId="20" xfId="5" applyNumberFormat="1" applyFont="1" applyBorder="1" applyAlignment="1">
      <alignment horizontal="center" vertical="center"/>
    </xf>
    <xf numFmtId="170" fontId="18" fillId="0" borderId="20" xfId="5" applyNumberFormat="1" applyFont="1" applyFill="1" applyBorder="1" applyAlignment="1">
      <alignment horizontal="center" vertical="center"/>
    </xf>
    <xf numFmtId="1" fontId="18" fillId="0" borderId="20" xfId="5" applyNumberFormat="1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20" fillId="0" borderId="32" xfId="5" applyFont="1" applyBorder="1" applyAlignment="1">
      <alignment horizontal="center" vertical="center"/>
    </xf>
    <xf numFmtId="0" fontId="21" fillId="0" borderId="44" xfId="8" applyFont="1" applyFill="1" applyBorder="1" applyAlignment="1">
      <alignment horizontal="center" vertical="center"/>
    </xf>
    <xf numFmtId="0" fontId="21" fillId="0" borderId="31" xfId="8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0" fillId="0" borderId="6" xfId="5" applyFont="1" applyBorder="1" applyAlignment="1">
      <alignment horizontal="center" vertical="center"/>
    </xf>
    <xf numFmtId="0" fontId="45" fillId="0" borderId="14" xfId="5" applyFont="1" applyBorder="1" applyAlignment="1">
      <alignment horizontal="center" vertical="center"/>
    </xf>
    <xf numFmtId="170" fontId="45" fillId="0" borderId="14" xfId="5" applyNumberFormat="1" applyFont="1" applyFill="1" applyBorder="1" applyAlignment="1">
      <alignment horizontal="center" vertical="center"/>
    </xf>
    <xf numFmtId="3" fontId="45" fillId="0" borderId="14" xfId="5" applyNumberFormat="1" applyFont="1" applyFill="1" applyBorder="1" applyAlignment="1">
      <alignment horizontal="center" vertical="center"/>
    </xf>
    <xf numFmtId="3" fontId="45" fillId="0" borderId="12" xfId="5" applyNumberFormat="1" applyFont="1" applyFill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171" fontId="45" fillId="0" borderId="6" xfId="5" applyNumberFormat="1" applyFont="1" applyFill="1" applyBorder="1" applyAlignment="1">
      <alignment horizontal="center" vertical="center"/>
    </xf>
    <xf numFmtId="3" fontId="45" fillId="0" borderId="6" xfId="5" applyNumberFormat="1" applyFont="1" applyFill="1" applyBorder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0" borderId="4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171" fontId="23" fillId="0" borderId="2" xfId="5" applyNumberFormat="1" applyFont="1" applyFill="1" applyBorder="1" applyAlignment="1">
      <alignment horizontal="center" vertical="center"/>
    </xf>
    <xf numFmtId="3" fontId="23" fillId="0" borderId="6" xfId="5" applyNumberFormat="1" applyFont="1" applyFill="1" applyBorder="1" applyAlignment="1">
      <alignment horizontal="center" vertical="center"/>
    </xf>
    <xf numFmtId="3" fontId="23" fillId="0" borderId="2" xfId="5" applyNumberFormat="1" applyFont="1" applyFill="1" applyBorder="1" applyAlignment="1">
      <alignment horizontal="center" vertical="center"/>
    </xf>
    <xf numFmtId="0" fontId="25" fillId="0" borderId="0" xfId="6" applyFont="1" applyAlignment="1">
      <alignment vertical="center"/>
    </xf>
    <xf numFmtId="0" fontId="20" fillId="0" borderId="2" xfId="5" applyFont="1" applyBorder="1" applyAlignment="1">
      <alignment horizontal="center" vertical="center"/>
    </xf>
    <xf numFmtId="3" fontId="22" fillId="0" borderId="9" xfId="8" applyNumberFormat="1" applyFont="1" applyFill="1" applyBorder="1" applyAlignment="1">
      <alignment vertical="center"/>
    </xf>
    <xf numFmtId="3" fontId="22" fillId="0" borderId="10" xfId="8" applyNumberFormat="1" applyFont="1" applyFill="1" applyBorder="1" applyAlignment="1">
      <alignment vertical="center"/>
    </xf>
    <xf numFmtId="168" fontId="20" fillId="0" borderId="2" xfId="5" applyNumberFormat="1" applyFont="1" applyFill="1" applyBorder="1" applyAlignment="1">
      <alignment horizontal="center" vertical="center"/>
    </xf>
    <xf numFmtId="3" fontId="20" fillId="0" borderId="2" xfId="5" applyNumberFormat="1" applyFont="1" applyFill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170" fontId="14" fillId="0" borderId="14" xfId="5" applyNumberFormat="1" applyFont="1" applyFill="1" applyBorder="1" applyAlignment="1">
      <alignment horizontal="center" vertical="center"/>
    </xf>
    <xf numFmtId="3" fontId="14" fillId="0" borderId="14" xfId="5" applyNumberFormat="1" applyFont="1" applyFill="1" applyBorder="1" applyAlignment="1">
      <alignment horizontal="center" vertical="center"/>
    </xf>
    <xf numFmtId="0" fontId="12" fillId="0" borderId="0" xfId="6" applyFont="1" applyAlignment="1">
      <alignment vertical="center"/>
    </xf>
    <xf numFmtId="0" fontId="14" fillId="0" borderId="43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170" fontId="14" fillId="0" borderId="16" xfId="5" applyNumberFormat="1" applyFont="1" applyFill="1" applyBorder="1" applyAlignment="1">
      <alignment horizontal="center" vertical="center"/>
    </xf>
    <xf numFmtId="170" fontId="45" fillId="0" borderId="16" xfId="5" applyNumberFormat="1" applyFont="1" applyFill="1" applyBorder="1" applyAlignment="1">
      <alignment horizontal="center" vertical="center"/>
    </xf>
    <xf numFmtId="3" fontId="14" fillId="0" borderId="16" xfId="5" applyNumberFormat="1" applyFont="1" applyFill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170" fontId="14" fillId="0" borderId="4" xfId="5" applyNumberFormat="1" applyFont="1" applyFill="1" applyBorder="1" applyAlignment="1">
      <alignment horizontal="center" vertical="center"/>
    </xf>
    <xf numFmtId="170" fontId="45" fillId="0" borderId="4" xfId="5" applyNumberFormat="1" applyFont="1" applyFill="1" applyBorder="1" applyAlignment="1">
      <alignment horizontal="center" vertical="center"/>
    </xf>
    <xf numFmtId="3" fontId="14" fillId="0" borderId="18" xfId="5" applyNumberFormat="1" applyFont="1" applyFill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170" fontId="13" fillId="0" borderId="12" xfId="5" applyNumberFormat="1" applyFont="1" applyFill="1" applyBorder="1" applyAlignment="1">
      <alignment horizontal="center" vertical="center"/>
    </xf>
    <xf numFmtId="3" fontId="13" fillId="0" borderId="12" xfId="5" applyNumberFormat="1" applyFont="1" applyFill="1" applyBorder="1" applyAlignment="1">
      <alignment horizontal="center" vertical="center"/>
    </xf>
    <xf numFmtId="0" fontId="49" fillId="0" borderId="6" xfId="5" applyFont="1" applyBorder="1" applyAlignment="1">
      <alignment horizontal="center" vertical="center"/>
    </xf>
    <xf numFmtId="170" fontId="14" fillId="0" borderId="6" xfId="5" applyNumberFormat="1" applyFont="1" applyFill="1" applyBorder="1" applyAlignment="1">
      <alignment horizontal="center" vertical="center"/>
    </xf>
    <xf numFmtId="3" fontId="14" fillId="0" borderId="6" xfId="5" applyNumberFormat="1" applyFont="1" applyFill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170" fontId="20" fillId="0" borderId="2" xfId="5" applyNumberFormat="1" applyFont="1" applyFill="1" applyBorder="1" applyAlignment="1">
      <alignment horizontal="center" vertical="center"/>
    </xf>
    <xf numFmtId="0" fontId="44" fillId="0" borderId="0" xfId="5" applyFont="1" applyAlignment="1">
      <alignment vertical="center"/>
    </xf>
    <xf numFmtId="0" fontId="46" fillId="0" borderId="26" xfId="5" applyFont="1" applyBorder="1" applyAlignment="1">
      <alignment horizontal="center" vertical="center"/>
    </xf>
    <xf numFmtId="0" fontId="46" fillId="0" borderId="9" xfId="5" applyFont="1" applyBorder="1" applyAlignment="1">
      <alignment vertical="center"/>
    </xf>
    <xf numFmtId="0" fontId="47" fillId="0" borderId="9" xfId="14" applyBorder="1" applyAlignment="1">
      <alignment vertical="center"/>
    </xf>
    <xf numFmtId="0" fontId="44" fillId="0" borderId="27" xfId="5" applyFont="1" applyBorder="1" applyAlignment="1">
      <alignment horizontal="center" vertical="center"/>
    </xf>
    <xf numFmtId="170" fontId="44" fillId="0" borderId="9" xfId="5" applyNumberFormat="1" applyFont="1" applyFill="1" applyBorder="1" applyAlignment="1">
      <alignment horizontal="center" vertical="center"/>
    </xf>
    <xf numFmtId="3" fontId="44" fillId="0" borderId="9" xfId="5" applyNumberFormat="1" applyFont="1" applyFill="1" applyBorder="1" applyAlignment="1">
      <alignment horizontal="center" vertical="center"/>
    </xf>
    <xf numFmtId="3" fontId="44" fillId="0" borderId="10" xfId="5" applyNumberFormat="1" applyFont="1" applyFill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23" fillId="0" borderId="2" xfId="5" applyFont="1" applyBorder="1" applyAlignment="1">
      <alignment horizontal="center" vertical="center"/>
    </xf>
    <xf numFmtId="3" fontId="22" fillId="0" borderId="0" xfId="8" applyNumberFormat="1" applyFont="1" applyFill="1" applyBorder="1" applyAlignment="1">
      <alignment vertical="center"/>
    </xf>
    <xf numFmtId="3" fontId="22" fillId="0" borderId="5" xfId="8" applyNumberFormat="1" applyFont="1" applyFill="1" applyBorder="1" applyAlignment="1">
      <alignment vertical="center"/>
    </xf>
    <xf numFmtId="0" fontId="45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170" fontId="45" fillId="0" borderId="1" xfId="5" applyNumberFormat="1" applyFont="1" applyFill="1" applyBorder="1" applyAlignment="1">
      <alignment horizontal="center" vertical="center"/>
    </xf>
    <xf numFmtId="1" fontId="45" fillId="0" borderId="1" xfId="5" applyNumberFormat="1" applyFont="1" applyFill="1" applyBorder="1" applyAlignment="1">
      <alignment horizontal="center" vertical="center"/>
    </xf>
    <xf numFmtId="3" fontId="45" fillId="0" borderId="1" xfId="5" applyNumberFormat="1" applyFont="1" applyFill="1" applyBorder="1" applyAlignment="1">
      <alignment horizontal="center" vertical="center"/>
    </xf>
    <xf numFmtId="0" fontId="45" fillId="0" borderId="18" xfId="5" applyFont="1" applyBorder="1" applyAlignment="1">
      <alignment horizontal="center" vertical="center"/>
    </xf>
    <xf numFmtId="170" fontId="45" fillId="0" borderId="18" xfId="5" applyNumberFormat="1" applyFont="1" applyFill="1" applyBorder="1" applyAlignment="1">
      <alignment horizontal="center" vertical="center"/>
    </xf>
    <xf numFmtId="1" fontId="45" fillId="0" borderId="18" xfId="5" applyNumberFormat="1" applyFont="1" applyFill="1" applyBorder="1" applyAlignment="1">
      <alignment horizontal="center" vertical="center"/>
    </xf>
    <xf numFmtId="3" fontId="45" fillId="0" borderId="18" xfId="5" applyNumberFormat="1" applyFont="1" applyFill="1" applyBorder="1" applyAlignment="1">
      <alignment horizontal="center" vertical="center"/>
    </xf>
    <xf numFmtId="3" fontId="21" fillId="0" borderId="27" xfId="8" applyNumberFormat="1" applyFont="1" applyFill="1" applyBorder="1" applyAlignment="1">
      <alignment horizontal="center" vertical="center"/>
    </xf>
    <xf numFmtId="3" fontId="21" fillId="0" borderId="5" xfId="8" applyNumberFormat="1" applyFont="1" applyFill="1" applyBorder="1" applyAlignment="1">
      <alignment horizontal="center" vertical="center"/>
    </xf>
    <xf numFmtId="0" fontId="44" fillId="0" borderId="2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170" fontId="44" fillId="0" borderId="2" xfId="5" applyNumberFormat="1" applyFont="1" applyFill="1" applyBorder="1" applyAlignment="1">
      <alignment horizontal="center" vertical="center"/>
    </xf>
    <xf numFmtId="170" fontId="44" fillId="0" borderId="2" xfId="5" applyNumberFormat="1" applyFont="1" applyBorder="1" applyAlignment="1">
      <alignment horizontal="center" vertical="center"/>
    </xf>
    <xf numFmtId="3" fontId="44" fillId="0" borderId="2" xfId="5" applyNumberFormat="1" applyFont="1" applyFill="1" applyBorder="1" applyAlignment="1">
      <alignment horizontal="center" vertical="center"/>
    </xf>
    <xf numFmtId="170" fontId="14" fillId="0" borderId="14" xfId="5" applyNumberFormat="1" applyFont="1" applyBorder="1" applyAlignment="1">
      <alignment horizontal="center" vertical="center"/>
    </xf>
    <xf numFmtId="170" fontId="14" fillId="0" borderId="16" xfId="5" applyNumberFormat="1" applyFont="1" applyBorder="1" applyAlignment="1">
      <alignment horizontal="center" vertical="center"/>
    </xf>
    <xf numFmtId="170" fontId="14" fillId="0" borderId="43" xfId="5" applyNumberFormat="1" applyFont="1" applyFill="1" applyBorder="1" applyAlignment="1">
      <alignment horizontal="center" vertical="center"/>
    </xf>
    <xf numFmtId="170" fontId="14" fillId="0" borderId="43" xfId="5" applyNumberFormat="1" applyFont="1" applyBorder="1" applyAlignment="1">
      <alignment horizontal="center" vertical="center"/>
    </xf>
    <xf numFmtId="3" fontId="14" fillId="0" borderId="43" xfId="5" applyNumberFormat="1" applyFont="1" applyFill="1" applyBorder="1" applyAlignment="1">
      <alignment horizontal="center" vertical="center"/>
    </xf>
    <xf numFmtId="0" fontId="44" fillId="0" borderId="14" xfId="5" applyFont="1" applyBorder="1" applyAlignment="1">
      <alignment horizontal="center" vertical="center"/>
    </xf>
    <xf numFmtId="0" fontId="44" fillId="0" borderId="16" xfId="5" applyFont="1" applyBorder="1" applyAlignment="1">
      <alignment horizontal="center" vertical="center"/>
    </xf>
    <xf numFmtId="170" fontId="50" fillId="0" borderId="16" xfId="5" applyNumberFormat="1" applyFont="1" applyFill="1" applyBorder="1" applyAlignment="1">
      <alignment horizontal="center" vertical="center"/>
    </xf>
    <xf numFmtId="170" fontId="50" fillId="0" borderId="16" xfId="5" applyNumberFormat="1" applyFont="1" applyBorder="1" applyAlignment="1">
      <alignment horizontal="center" vertical="center"/>
    </xf>
    <xf numFmtId="3" fontId="50" fillId="0" borderId="16" xfId="5" applyNumberFormat="1" applyFont="1" applyFill="1" applyBorder="1" applyAlignment="1">
      <alignment horizontal="center" vertical="center"/>
    </xf>
    <xf numFmtId="170" fontId="14" fillId="0" borderId="43" xfId="5" quotePrefix="1" applyNumberFormat="1" applyFont="1" applyFill="1" applyBorder="1" applyAlignment="1">
      <alignment horizontal="center" vertical="center"/>
    </xf>
    <xf numFmtId="170" fontId="14" fillId="0" borderId="16" xfId="5" quotePrefix="1" applyNumberFormat="1" applyFont="1" applyBorder="1" applyAlignment="1">
      <alignment horizontal="center" vertical="center"/>
    </xf>
    <xf numFmtId="3" fontId="14" fillId="0" borderId="16" xfId="5" quotePrefix="1" applyNumberFormat="1" applyFont="1" applyFill="1" applyBorder="1" applyAlignment="1">
      <alignment horizontal="center" vertical="center"/>
    </xf>
    <xf numFmtId="170" fontId="14" fillId="0" borderId="18" xfId="5" quotePrefix="1" applyNumberFormat="1" applyFont="1" applyFill="1" applyBorder="1" applyAlignment="1">
      <alignment horizontal="center" vertical="center"/>
    </xf>
    <xf numFmtId="170" fontId="14" fillId="0" borderId="6" xfId="5" quotePrefix="1" applyNumberFormat="1" applyFont="1" applyFill="1" applyBorder="1" applyAlignment="1">
      <alignment horizontal="center" vertical="center"/>
    </xf>
    <xf numFmtId="3" fontId="14" fillId="0" borderId="18" xfId="5" quotePrefix="1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/>
    </xf>
    <xf numFmtId="0" fontId="14" fillId="0" borderId="0" xfId="5" applyFont="1" applyBorder="1"/>
    <xf numFmtId="0" fontId="47" fillId="0" borderId="0" xfId="14" applyBorder="1"/>
    <xf numFmtId="170" fontId="14" fillId="0" borderId="0" xfId="5" quotePrefix="1" applyNumberFormat="1" applyFont="1" applyFill="1" applyBorder="1" applyAlignment="1">
      <alignment horizontal="center"/>
    </xf>
    <xf numFmtId="170" fontId="14" fillId="0" borderId="0" xfId="5" quotePrefix="1" applyNumberFormat="1" applyFont="1" applyFill="1" applyBorder="1" applyAlignment="1">
      <alignment horizontal="center" vertical="center"/>
    </xf>
    <xf numFmtId="0" fontId="51" fillId="0" borderId="0" xfId="5" applyFont="1" applyAlignment="1">
      <alignment horizontal="center"/>
    </xf>
    <xf numFmtId="0" fontId="12" fillId="0" borderId="22" xfId="6" applyBorder="1"/>
    <xf numFmtId="0" fontId="12" fillId="0" borderId="22" xfId="6" applyFill="1" applyBorder="1"/>
    <xf numFmtId="0" fontId="12" fillId="0" borderId="22" xfId="6" applyFill="1" applyBorder="1" applyAlignment="1">
      <alignment horizontal="center" vertical="center"/>
    </xf>
    <xf numFmtId="0" fontId="52" fillId="0" borderId="0" xfId="9" applyFont="1"/>
    <xf numFmtId="0" fontId="30" fillId="0" borderId="0" xfId="9" applyFont="1"/>
    <xf numFmtId="0" fontId="30" fillId="0" borderId="0" xfId="9" applyFont="1" applyFill="1"/>
    <xf numFmtId="0" fontId="30" fillId="0" borderId="0" xfId="9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3" fontId="23" fillId="0" borderId="0" xfId="9" applyNumberFormat="1" applyFont="1" applyFill="1"/>
    <xf numFmtId="0" fontId="30" fillId="0" borderId="0" xfId="9" applyFont="1" applyAlignment="1">
      <alignment horizontal="center"/>
    </xf>
    <xf numFmtId="0" fontId="20" fillId="0" borderId="0" xfId="9" applyFont="1"/>
    <xf numFmtId="3" fontId="30" fillId="0" borderId="0" xfId="9" applyNumberFormat="1" applyFont="1" applyFill="1"/>
    <xf numFmtId="0" fontId="52" fillId="0" borderId="0" xfId="9" applyFont="1" applyFill="1"/>
    <xf numFmtId="0" fontId="52" fillId="0" borderId="0" xfId="9" applyFont="1" applyFill="1" applyAlignment="1">
      <alignment horizontal="center"/>
    </xf>
    <xf numFmtId="3" fontId="52" fillId="0" borderId="0" xfId="9" applyNumberFormat="1" applyFont="1" applyFill="1"/>
    <xf numFmtId="0" fontId="52" fillId="0" borderId="0" xfId="7" applyFont="1" applyAlignment="1">
      <alignment horizontal="left"/>
      <protection locked="0"/>
    </xf>
    <xf numFmtId="0" fontId="30" fillId="0" borderId="0" xfId="7" applyFont="1" applyAlignment="1">
      <alignment vertical="center"/>
      <protection locked="0"/>
    </xf>
    <xf numFmtId="0" fontId="30" fillId="0" borderId="0" xfId="7" applyFont="1" applyFill="1" applyAlignment="1">
      <alignment vertical="center"/>
      <protection locked="0"/>
    </xf>
    <xf numFmtId="0" fontId="30" fillId="0" borderId="0" xfId="7" applyFont="1" applyFill="1" applyAlignment="1">
      <alignment horizontal="center" vertical="center"/>
      <protection locked="0"/>
    </xf>
    <xf numFmtId="3" fontId="30" fillId="0" borderId="0" xfId="7" applyNumberFormat="1" applyFont="1" applyFill="1" applyAlignment="1">
      <alignment horizontal="right" vertical="center"/>
      <protection locked="0"/>
    </xf>
    <xf numFmtId="0" fontId="30" fillId="0" borderId="0" xfId="9" quotePrefix="1" applyFont="1"/>
    <xf numFmtId="0" fontId="53" fillId="0" borderId="0" xfId="9" applyFont="1"/>
    <xf numFmtId="0" fontId="52" fillId="3" borderId="1" xfId="9" applyFont="1" applyFill="1" applyBorder="1" applyAlignment="1">
      <alignment horizontal="center" vertical="center" wrapText="1"/>
    </xf>
    <xf numFmtId="0" fontId="52" fillId="3" borderId="1" xfId="9" applyFont="1" applyFill="1" applyBorder="1" applyAlignment="1">
      <alignment horizontal="center" vertical="center"/>
    </xf>
    <xf numFmtId="0" fontId="46" fillId="0" borderId="1" xfId="9" applyFont="1" applyFill="1" applyBorder="1" applyAlignment="1">
      <alignment horizontal="center" vertical="center" wrapText="1"/>
    </xf>
    <xf numFmtId="164" fontId="46" fillId="0" borderId="1" xfId="10" applyFont="1" applyFill="1" applyBorder="1" applyAlignment="1">
      <alignment horizontal="center" vertical="center" wrapText="1"/>
    </xf>
    <xf numFmtId="3" fontId="46" fillId="0" borderId="1" xfId="9" applyNumberFormat="1" applyFont="1" applyFill="1" applyBorder="1" applyAlignment="1">
      <alignment horizontal="center" vertical="center" wrapText="1"/>
    </xf>
    <xf numFmtId="0" fontId="18" fillId="3" borderId="42" xfId="9" applyFont="1" applyFill="1" applyBorder="1" applyAlignment="1">
      <alignment horizontal="center"/>
    </xf>
    <xf numFmtId="0" fontId="18" fillId="3" borderId="18" xfId="9" applyFont="1" applyFill="1" applyBorder="1" applyAlignment="1">
      <alignment horizontal="center"/>
    </xf>
    <xf numFmtId="0" fontId="18" fillId="0" borderId="19" xfId="9" applyFont="1" applyFill="1" applyBorder="1" applyAlignment="1">
      <alignment horizontal="center"/>
    </xf>
    <xf numFmtId="3" fontId="18" fillId="0" borderId="18" xfId="9" applyNumberFormat="1" applyFont="1" applyFill="1" applyBorder="1" applyAlignment="1">
      <alignment horizontal="center"/>
    </xf>
    <xf numFmtId="0" fontId="30" fillId="3" borderId="23" xfId="9" applyFont="1" applyFill="1" applyBorder="1" applyAlignment="1">
      <alignment horizontal="center"/>
    </xf>
    <xf numFmtId="0" fontId="30" fillId="3" borderId="2" xfId="9" applyFont="1" applyFill="1" applyBorder="1" applyAlignment="1">
      <alignment horizontal="center"/>
    </xf>
    <xf numFmtId="0" fontId="30" fillId="0" borderId="10" xfId="9" applyFont="1" applyFill="1" applyBorder="1" applyAlignment="1">
      <alignment horizontal="center"/>
    </xf>
    <xf numFmtId="3" fontId="30" fillId="0" borderId="10" xfId="9" applyNumberFormat="1" applyFont="1" applyFill="1" applyBorder="1" applyAlignment="1">
      <alignment horizontal="center"/>
    </xf>
    <xf numFmtId="0" fontId="30" fillId="3" borderId="2" xfId="9" applyFont="1" applyFill="1" applyBorder="1"/>
    <xf numFmtId="0" fontId="53" fillId="3" borderId="33" xfId="9" applyFont="1" applyFill="1" applyBorder="1" applyAlignment="1">
      <alignment horizontal="center"/>
    </xf>
    <xf numFmtId="0" fontId="52" fillId="3" borderId="14" xfId="9" applyFont="1" applyFill="1" applyBorder="1"/>
    <xf numFmtId="4" fontId="52" fillId="0" borderId="15" xfId="10" applyNumberFormat="1" applyFont="1" applyFill="1" applyBorder="1" applyAlignment="1">
      <alignment horizontal="center"/>
    </xf>
    <xf numFmtId="3" fontId="52" fillId="0" borderId="15" xfId="10" applyNumberFormat="1" applyFont="1" applyFill="1" applyBorder="1" applyAlignment="1">
      <alignment horizontal="center"/>
    </xf>
    <xf numFmtId="0" fontId="18" fillId="3" borderId="35" xfId="9" applyFont="1" applyFill="1" applyBorder="1" applyAlignment="1">
      <alignment horizontal="center"/>
    </xf>
    <xf numFmtId="0" fontId="30" fillId="3" borderId="16" xfId="9" applyFont="1" applyFill="1" applyBorder="1"/>
    <xf numFmtId="4" fontId="30" fillId="0" borderId="15" xfId="10" applyNumberFormat="1" applyFont="1" applyFill="1" applyBorder="1" applyAlignment="1">
      <alignment horizontal="center"/>
    </xf>
    <xf numFmtId="3" fontId="30" fillId="0" borderId="15" xfId="10" applyNumberFormat="1" applyFont="1" applyFill="1" applyBorder="1" applyAlignment="1">
      <alignment horizontal="center"/>
    </xf>
    <xf numFmtId="1" fontId="30" fillId="3" borderId="16" xfId="9" applyNumberFormat="1" applyFont="1" applyFill="1" applyBorder="1" applyAlignment="1">
      <alignment horizontal="center"/>
    </xf>
    <xf numFmtId="0" fontId="30" fillId="3" borderId="18" xfId="9" applyFont="1" applyFill="1" applyBorder="1"/>
    <xf numFmtId="3" fontId="30" fillId="0" borderId="18" xfId="10" applyNumberFormat="1" applyFont="1" applyFill="1" applyBorder="1" applyAlignment="1">
      <alignment horizontal="center"/>
    </xf>
    <xf numFmtId="1" fontId="30" fillId="3" borderId="18" xfId="9" applyNumberFormat="1" applyFont="1" applyFill="1" applyBorder="1" applyAlignment="1">
      <alignment horizontal="center"/>
    </xf>
    <xf numFmtId="0" fontId="53" fillId="3" borderId="23" xfId="9" applyFont="1" applyFill="1" applyBorder="1" applyAlignment="1">
      <alignment horizontal="center"/>
    </xf>
    <xf numFmtId="0" fontId="52" fillId="3" borderId="2" xfId="9" applyFont="1" applyFill="1" applyBorder="1"/>
    <xf numFmtId="4" fontId="52" fillId="0" borderId="10" xfId="10" applyNumberFormat="1" applyFont="1" applyFill="1" applyBorder="1" applyAlignment="1">
      <alignment horizontal="center"/>
    </xf>
    <xf numFmtId="3" fontId="52" fillId="0" borderId="10" xfId="10" applyNumberFormat="1" applyFont="1" applyFill="1" applyBorder="1" applyAlignment="1">
      <alignment horizontal="center"/>
    </xf>
    <xf numFmtId="0" fontId="42" fillId="0" borderId="25" xfId="1" applyFont="1" applyBorder="1" applyAlignment="1">
      <alignment horizontal="center"/>
    </xf>
    <xf numFmtId="0" fontId="18" fillId="3" borderId="43" xfId="9" applyFont="1" applyFill="1" applyBorder="1" applyAlignment="1">
      <alignment horizontal="center"/>
    </xf>
    <xf numFmtId="0" fontId="30" fillId="0" borderId="43" xfId="9" applyFont="1" applyFill="1" applyBorder="1"/>
    <xf numFmtId="4" fontId="30" fillId="0" borderId="5" xfId="10" applyNumberFormat="1" applyFont="1" applyFill="1" applyBorder="1" applyAlignment="1">
      <alignment horizontal="center"/>
    </xf>
    <xf numFmtId="0" fontId="2" fillId="0" borderId="0" xfId="1" applyFill="1"/>
    <xf numFmtId="0" fontId="18" fillId="0" borderId="18" xfId="9" applyFont="1" applyFill="1" applyBorder="1" applyAlignment="1">
      <alignment horizontal="center"/>
    </xf>
    <xf numFmtId="4" fontId="30" fillId="0" borderId="18" xfId="10" applyNumberFormat="1" applyFont="1" applyFill="1" applyBorder="1" applyAlignment="1">
      <alignment horizontal="center"/>
    </xf>
    <xf numFmtId="3" fontId="30" fillId="0" borderId="5" xfId="10" applyNumberFormat="1" applyFont="1" applyFill="1" applyBorder="1" applyAlignment="1">
      <alignment horizontal="center"/>
    </xf>
    <xf numFmtId="1" fontId="30" fillId="3" borderId="43" xfId="9" applyNumberFormat="1" applyFont="1" applyFill="1" applyBorder="1" applyAlignment="1">
      <alignment horizontal="center"/>
    </xf>
    <xf numFmtId="0" fontId="53" fillId="3" borderId="2" xfId="9" applyFont="1" applyFill="1" applyBorder="1" applyAlignment="1">
      <alignment horizontal="center"/>
    </xf>
    <xf numFmtId="3" fontId="52" fillId="0" borderId="2" xfId="10" applyNumberFormat="1" applyFont="1" applyFill="1" applyBorder="1" applyAlignment="1">
      <alignment horizontal="center"/>
    </xf>
    <xf numFmtId="0" fontId="53" fillId="3" borderId="41" xfId="9" applyFont="1" applyFill="1" applyBorder="1" applyAlignment="1">
      <alignment horizontal="center"/>
    </xf>
    <xf numFmtId="0" fontId="52" fillId="3" borderId="12" xfId="9" applyFont="1" applyFill="1" applyBorder="1"/>
    <xf numFmtId="4" fontId="52" fillId="0" borderId="13" xfId="10" applyNumberFormat="1" applyFont="1" applyFill="1" applyBorder="1" applyAlignment="1">
      <alignment horizontal="center"/>
    </xf>
    <xf numFmtId="1" fontId="52" fillId="3" borderId="14" xfId="9" applyNumberFormat="1" applyFont="1" applyFill="1" applyBorder="1" applyAlignment="1">
      <alignment horizontal="center"/>
    </xf>
    <xf numFmtId="0" fontId="18" fillId="3" borderId="16" xfId="9" applyFont="1" applyFill="1" applyBorder="1" applyAlignment="1">
      <alignment horizontal="center"/>
    </xf>
    <xf numFmtId="0" fontId="30" fillId="3" borderId="17" xfId="9" applyFont="1" applyFill="1" applyBorder="1"/>
    <xf numFmtId="4" fontId="30" fillId="0" borderId="16" xfId="10" applyNumberFormat="1" applyFont="1" applyFill="1" applyBorder="1" applyAlignment="1">
      <alignment horizontal="center"/>
    </xf>
    <xf numFmtId="3" fontId="52" fillId="0" borderId="12" xfId="10" applyNumberFormat="1" applyFont="1" applyFill="1" applyBorder="1" applyAlignment="1">
      <alignment horizontal="center"/>
    </xf>
    <xf numFmtId="3" fontId="52" fillId="0" borderId="13" xfId="10" applyNumberFormat="1" applyFont="1" applyFill="1" applyBorder="1" applyAlignment="1">
      <alignment horizontal="center"/>
    </xf>
    <xf numFmtId="0" fontId="18" fillId="3" borderId="38" xfId="9" applyFont="1" applyFill="1" applyBorder="1" applyAlignment="1">
      <alignment horizontal="center"/>
    </xf>
    <xf numFmtId="3" fontId="30" fillId="0" borderId="14" xfId="10" applyNumberFormat="1" applyFont="1" applyFill="1" applyBorder="1" applyAlignment="1">
      <alignment horizontal="center"/>
    </xf>
    <xf numFmtId="1" fontId="30" fillId="3" borderId="14" xfId="9" applyNumberFormat="1" applyFont="1" applyFill="1" applyBorder="1" applyAlignment="1">
      <alignment horizontal="center"/>
    </xf>
    <xf numFmtId="4" fontId="52" fillId="0" borderId="2" xfId="10" applyNumberFormat="1" applyFont="1" applyFill="1" applyBorder="1" applyAlignment="1">
      <alignment horizontal="center"/>
    </xf>
    <xf numFmtId="0" fontId="18" fillId="3" borderId="23" xfId="9" applyFont="1" applyFill="1" applyBorder="1" applyAlignment="1">
      <alignment horizontal="center"/>
    </xf>
    <xf numFmtId="0" fontId="52" fillId="3" borderId="9" xfId="9" applyFont="1" applyFill="1" applyBorder="1"/>
    <xf numFmtId="4" fontId="30" fillId="0" borderId="9" xfId="10" applyNumberFormat="1" applyFont="1" applyFill="1" applyBorder="1" applyAlignment="1">
      <alignment horizontal="center"/>
    </xf>
    <xf numFmtId="3" fontId="30" fillId="0" borderId="9" xfId="10" applyNumberFormat="1" applyFont="1" applyFill="1" applyBorder="1" applyAlignment="1">
      <alignment horizontal="center"/>
    </xf>
    <xf numFmtId="1" fontId="52" fillId="3" borderId="10" xfId="9" applyNumberFormat="1" applyFont="1" applyFill="1" applyBorder="1" applyAlignment="1">
      <alignment horizontal="center"/>
    </xf>
    <xf numFmtId="0" fontId="53" fillId="3" borderId="48" xfId="9" applyFont="1" applyFill="1" applyBorder="1" applyAlignment="1">
      <alignment horizontal="center"/>
    </xf>
    <xf numFmtId="0" fontId="52" fillId="3" borderId="49" xfId="9" applyFont="1" applyFill="1" applyBorder="1"/>
    <xf numFmtId="4" fontId="52" fillId="0" borderId="50" xfId="10" applyNumberFormat="1" applyFont="1" applyFill="1" applyBorder="1" applyAlignment="1">
      <alignment horizontal="center"/>
    </xf>
    <xf numFmtId="3" fontId="52" fillId="0" borderId="43" xfId="10" applyNumberFormat="1" applyFont="1" applyFill="1" applyBorder="1" applyAlignment="1">
      <alignment horizontal="center"/>
    </xf>
    <xf numFmtId="3" fontId="52" fillId="0" borderId="47" xfId="10" applyNumberFormat="1" applyFont="1" applyFill="1" applyBorder="1" applyAlignment="1">
      <alignment horizontal="center"/>
    </xf>
    <xf numFmtId="0" fontId="53" fillId="3" borderId="39" xfId="9" applyFont="1" applyFill="1" applyBorder="1" applyAlignment="1">
      <alignment horizontal="center"/>
    </xf>
    <xf numFmtId="0" fontId="52" fillId="3" borderId="11" xfId="9" applyFont="1" applyFill="1" applyBorder="1"/>
    <xf numFmtId="4" fontId="52" fillId="0" borderId="40" xfId="10" applyNumberFormat="1" applyFont="1" applyFill="1" applyBorder="1" applyAlignment="1">
      <alignment horizontal="center"/>
    </xf>
    <xf numFmtId="3" fontId="52" fillId="0" borderId="51" xfId="10" applyNumberFormat="1" applyFont="1" applyFill="1" applyBorder="1" applyAlignment="1">
      <alignment horizontal="center"/>
    </xf>
    <xf numFmtId="3" fontId="52" fillId="0" borderId="52" xfId="10" applyNumberFormat="1" applyFont="1" applyFill="1" applyBorder="1" applyAlignment="1">
      <alignment horizontal="center"/>
    </xf>
    <xf numFmtId="0" fontId="53" fillId="3" borderId="0" xfId="9" applyFont="1" applyFill="1" applyBorder="1" applyAlignment="1">
      <alignment horizontal="center"/>
    </xf>
    <xf numFmtId="0" fontId="52" fillId="3" borderId="0" xfId="9" applyFont="1" applyFill="1" applyBorder="1"/>
    <xf numFmtId="164" fontId="52" fillId="0" borderId="0" xfId="10" applyFont="1" applyFill="1" applyBorder="1" applyAlignment="1">
      <alignment horizontal="center"/>
    </xf>
    <xf numFmtId="166" fontId="52" fillId="3" borderId="0" xfId="10" applyNumberFormat="1" applyFont="1" applyFill="1" applyBorder="1" applyAlignment="1">
      <alignment horizontal="center"/>
    </xf>
    <xf numFmtId="3" fontId="52" fillId="0" borderId="0" xfId="10" applyNumberFormat="1" applyFont="1" applyFill="1" applyBorder="1" applyAlignment="1">
      <alignment horizontal="center"/>
    </xf>
    <xf numFmtId="164" fontId="2" fillId="0" borderId="0" xfId="1" applyNumberForma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22" xfId="1" applyFill="1" applyBorder="1"/>
    <xf numFmtId="164" fontId="2" fillId="0" borderId="22" xfId="1" applyNumberFormat="1" applyFill="1" applyBorder="1" applyAlignment="1">
      <alignment horizontal="center"/>
    </xf>
    <xf numFmtId="164" fontId="3" fillId="0" borderId="22" xfId="1" applyNumberFormat="1" applyFont="1" applyFill="1" applyBorder="1" applyAlignment="1">
      <alignment horizontal="center"/>
    </xf>
    <xf numFmtId="0" fontId="54" fillId="3" borderId="0" xfId="9" applyFont="1" applyFill="1" applyBorder="1" applyAlignment="1"/>
    <xf numFmtId="0" fontId="55" fillId="3" borderId="0" xfId="9" applyFont="1" applyFill="1" applyBorder="1" applyAlignment="1"/>
    <xf numFmtId="0" fontId="55" fillId="0" borderId="0" xfId="9" applyFont="1" applyFill="1" applyBorder="1" applyAlignment="1"/>
    <xf numFmtId="4" fontId="55" fillId="0" borderId="0" xfId="9" applyNumberFormat="1" applyFont="1" applyFill="1" applyBorder="1" applyAlignment="1"/>
    <xf numFmtId="0" fontId="55" fillId="0" borderId="0" xfId="1" applyFont="1"/>
    <xf numFmtId="0" fontId="2" fillId="0" borderId="0" xfId="1" applyFill="1" applyBorder="1"/>
    <xf numFmtId="4" fontId="39" fillId="0" borderId="0" xfId="1" applyNumberFormat="1" applyFont="1"/>
    <xf numFmtId="0" fontId="2" fillId="0" borderId="0" xfId="1" applyFill="1" applyAlignment="1">
      <alignment horizontal="center"/>
    </xf>
    <xf numFmtId="3" fontId="2" fillId="0" borderId="0" xfId="1" applyNumberFormat="1" applyFill="1"/>
    <xf numFmtId="0" fontId="12" fillId="0" borderId="0" xfId="1" applyFont="1" applyFill="1"/>
    <xf numFmtId="164" fontId="56" fillId="0" borderId="0" xfId="1" applyNumberFormat="1" applyFont="1" applyFill="1" applyBorder="1" applyAlignment="1">
      <alignment horizontal="center"/>
    </xf>
    <xf numFmtId="164" fontId="57" fillId="0" borderId="0" xfId="1" applyNumberFormat="1" applyFont="1" applyFill="1" applyBorder="1" applyAlignment="1">
      <alignment horizontal="center"/>
    </xf>
    <xf numFmtId="0" fontId="52" fillId="0" borderId="0" xfId="1" applyFont="1" applyFill="1"/>
    <xf numFmtId="164" fontId="12" fillId="0" borderId="0" xfId="1" applyNumberFormat="1" applyFont="1" applyFill="1" applyAlignment="1">
      <alignment horizontal="center"/>
    </xf>
    <xf numFmtId="0" fontId="53" fillId="0" borderId="0" xfId="9" applyFont="1" applyFill="1"/>
    <xf numFmtId="0" fontId="44" fillId="0" borderId="0" xfId="9" applyFont="1" applyFill="1"/>
    <xf numFmtId="0" fontId="54" fillId="0" borderId="24" xfId="1" applyFont="1" applyFill="1" applyBorder="1" applyAlignment="1">
      <alignment horizontal="center" vertical="center" wrapText="1"/>
    </xf>
    <xf numFmtId="0" fontId="58" fillId="0" borderId="1" xfId="9" applyFont="1" applyFill="1" applyBorder="1" applyAlignment="1">
      <alignment horizontal="left" vertical="center"/>
    </xf>
    <xf numFmtId="0" fontId="46" fillId="0" borderId="12" xfId="9" applyFont="1" applyFill="1" applyBorder="1" applyAlignment="1">
      <alignment horizontal="center" vertical="center" wrapText="1"/>
    </xf>
    <xf numFmtId="164" fontId="46" fillId="0" borderId="22" xfId="10" applyFont="1" applyFill="1" applyBorder="1" applyAlignment="1">
      <alignment horizontal="center" vertical="center" wrapText="1"/>
    </xf>
    <xf numFmtId="3" fontId="46" fillId="0" borderId="22" xfId="9" applyNumberFormat="1" applyFont="1" applyFill="1" applyBorder="1" applyAlignment="1">
      <alignment horizontal="center" vertical="center" wrapText="1"/>
    </xf>
    <xf numFmtId="0" fontId="18" fillId="0" borderId="42" xfId="1" applyFont="1" applyFill="1" applyBorder="1" applyAlignment="1">
      <alignment horizontal="center" vertical="center"/>
    </xf>
    <xf numFmtId="0" fontId="18" fillId="0" borderId="18" xfId="9" applyFont="1" applyFill="1" applyBorder="1" applyAlignment="1">
      <alignment horizontal="center" vertical="center"/>
    </xf>
    <xf numFmtId="0" fontId="18" fillId="0" borderId="6" xfId="9" applyFont="1" applyFill="1" applyBorder="1" applyAlignment="1">
      <alignment horizontal="center" vertical="center"/>
    </xf>
    <xf numFmtId="0" fontId="18" fillId="0" borderId="46" xfId="9" applyFont="1" applyFill="1" applyBorder="1" applyAlignment="1">
      <alignment horizontal="center" vertical="center"/>
    </xf>
    <xf numFmtId="0" fontId="52" fillId="0" borderId="23" xfId="1" applyFont="1" applyFill="1" applyBorder="1"/>
    <xf numFmtId="0" fontId="58" fillId="0" borderId="2" xfId="9" applyFont="1" applyFill="1" applyBorder="1"/>
    <xf numFmtId="166" fontId="58" fillId="0" borderId="2" xfId="10" applyNumberFormat="1" applyFont="1" applyFill="1" applyBorder="1" applyAlignment="1">
      <alignment horizontal="center"/>
    </xf>
    <xf numFmtId="166" fontId="58" fillId="0" borderId="9" xfId="10" applyNumberFormat="1" applyFont="1" applyFill="1" applyBorder="1" applyAlignment="1">
      <alignment horizontal="center"/>
    </xf>
    <xf numFmtId="1" fontId="58" fillId="0" borderId="9" xfId="10" applyNumberFormat="1" applyFont="1" applyFill="1" applyBorder="1" applyAlignment="1">
      <alignment horizontal="center"/>
    </xf>
    <xf numFmtId="167" fontId="58" fillId="0" borderId="2" xfId="10" applyNumberFormat="1" applyFont="1" applyFill="1" applyBorder="1" applyAlignment="1">
      <alignment horizontal="center"/>
    </xf>
    <xf numFmtId="0" fontId="52" fillId="0" borderId="33" xfId="1" applyFont="1" applyFill="1" applyBorder="1"/>
    <xf numFmtId="0" fontId="58" fillId="0" borderId="14" xfId="9" applyFont="1" applyFill="1" applyBorder="1"/>
    <xf numFmtId="166" fontId="58" fillId="0" borderId="14" xfId="10" applyNumberFormat="1" applyFont="1" applyFill="1" applyBorder="1" applyAlignment="1">
      <alignment horizontal="center"/>
    </xf>
    <xf numFmtId="166" fontId="58" fillId="0" borderId="34" xfId="10" applyNumberFormat="1" applyFont="1" applyFill="1" applyBorder="1" applyAlignment="1">
      <alignment horizontal="center"/>
    </xf>
    <xf numFmtId="1" fontId="58" fillId="0" borderId="34" xfId="10" applyNumberFormat="1" applyFont="1" applyFill="1" applyBorder="1" applyAlignment="1">
      <alignment horizontal="center"/>
    </xf>
    <xf numFmtId="167" fontId="58" fillId="0" borderId="14" xfId="10" applyNumberFormat="1" applyFont="1" applyFill="1" applyBorder="1" applyAlignment="1">
      <alignment horizontal="center"/>
    </xf>
    <xf numFmtId="0" fontId="52" fillId="0" borderId="35" xfId="1" applyFont="1" applyFill="1" applyBorder="1"/>
    <xf numFmtId="0" fontId="58" fillId="0" borderId="16" xfId="9" applyFont="1" applyFill="1" applyBorder="1"/>
    <xf numFmtId="166" fontId="58" fillId="0" borderId="16" xfId="10" applyNumberFormat="1" applyFont="1" applyFill="1" applyBorder="1" applyAlignment="1">
      <alignment horizontal="center"/>
    </xf>
    <xf numFmtId="166" fontId="58" fillId="0" borderId="36" xfId="10" applyNumberFormat="1" applyFont="1" applyFill="1" applyBorder="1" applyAlignment="1">
      <alignment horizontal="center"/>
    </xf>
    <xf numFmtId="1" fontId="58" fillId="0" borderId="36" xfId="10" applyNumberFormat="1" applyFont="1" applyFill="1" applyBorder="1" applyAlignment="1">
      <alignment horizontal="center"/>
    </xf>
    <xf numFmtId="167" fontId="58" fillId="0" borderId="16" xfId="10" applyNumberFormat="1" applyFont="1" applyFill="1" applyBorder="1" applyAlignment="1">
      <alignment horizontal="center"/>
    </xf>
    <xf numFmtId="0" fontId="30" fillId="0" borderId="35" xfId="1" applyFont="1" applyFill="1" applyBorder="1"/>
    <xf numFmtId="0" fontId="48" fillId="0" borderId="16" xfId="9" applyFont="1" applyFill="1" applyBorder="1"/>
    <xf numFmtId="166" fontId="48" fillId="0" borderId="16" xfId="10" applyNumberFormat="1" applyFont="1" applyFill="1" applyBorder="1" applyAlignment="1">
      <alignment horizontal="center"/>
    </xf>
    <xf numFmtId="166" fontId="48" fillId="0" borderId="36" xfId="10" applyNumberFormat="1" applyFont="1" applyFill="1" applyBorder="1" applyAlignment="1">
      <alignment horizontal="center"/>
    </xf>
    <xf numFmtId="1" fontId="48" fillId="0" borderId="36" xfId="10" applyNumberFormat="1" applyFont="1" applyFill="1" applyBorder="1" applyAlignment="1">
      <alignment horizontal="center"/>
    </xf>
    <xf numFmtId="167" fontId="48" fillId="0" borderId="16" xfId="10" applyNumberFormat="1" applyFont="1" applyFill="1" applyBorder="1" applyAlignment="1">
      <alignment horizontal="center"/>
    </xf>
    <xf numFmtId="0" fontId="48" fillId="0" borderId="16" xfId="9" applyFont="1" applyFill="1" applyBorder="1" applyAlignment="1">
      <alignment horizontal="left" vertical="top"/>
    </xf>
    <xf numFmtId="0" fontId="48" fillId="0" borderId="16" xfId="9" applyFont="1" applyFill="1" applyBorder="1" applyAlignment="1">
      <alignment horizontal="left" vertical="top" wrapText="1"/>
    </xf>
    <xf numFmtId="0" fontId="58" fillId="0" borderId="16" xfId="9" applyFont="1" applyFill="1" applyBorder="1" applyAlignment="1">
      <alignment horizontal="left" wrapText="1"/>
    </xf>
    <xf numFmtId="0" fontId="52" fillId="0" borderId="38" xfId="1" applyFont="1" applyFill="1" applyBorder="1"/>
    <xf numFmtId="0" fontId="48" fillId="0" borderId="43" xfId="9" applyFont="1" applyFill="1" applyBorder="1"/>
    <xf numFmtId="166" fontId="48" fillId="0" borderId="43" xfId="10" applyNumberFormat="1" applyFont="1" applyFill="1" applyBorder="1" applyAlignment="1">
      <alignment horizontal="center"/>
    </xf>
    <xf numFmtId="166" fontId="48" fillId="0" borderId="37" xfId="10" applyNumberFormat="1" applyFont="1" applyFill="1" applyBorder="1" applyAlignment="1">
      <alignment horizontal="center"/>
    </xf>
    <xf numFmtId="1" fontId="58" fillId="0" borderId="37" xfId="10" applyNumberFormat="1" applyFont="1" applyFill="1" applyBorder="1" applyAlignment="1">
      <alignment horizontal="center"/>
    </xf>
    <xf numFmtId="167" fontId="58" fillId="0" borderId="43" xfId="10" applyNumberFormat="1" applyFont="1" applyFill="1" applyBorder="1" applyAlignment="1">
      <alignment horizontal="center"/>
    </xf>
    <xf numFmtId="0" fontId="52" fillId="0" borderId="25" xfId="1" applyFont="1" applyFill="1" applyBorder="1"/>
    <xf numFmtId="0" fontId="48" fillId="0" borderId="4" xfId="9" applyFont="1" applyFill="1" applyBorder="1"/>
    <xf numFmtId="166" fontId="48" fillId="0" borderId="4" xfId="10" applyNumberFormat="1" applyFont="1" applyFill="1" applyBorder="1" applyAlignment="1">
      <alignment horizontal="center"/>
    </xf>
    <xf numFmtId="166" fontId="48" fillId="0" borderId="0" xfId="10" applyNumberFormat="1" applyFont="1" applyFill="1" applyBorder="1" applyAlignment="1">
      <alignment horizontal="center"/>
    </xf>
    <xf numFmtId="1" fontId="58" fillId="0" borderId="0" xfId="10" applyNumberFormat="1" applyFont="1" applyFill="1" applyBorder="1" applyAlignment="1">
      <alignment horizontal="center"/>
    </xf>
    <xf numFmtId="167" fontId="58" fillId="0" borderId="4" xfId="10" applyNumberFormat="1" applyFont="1" applyFill="1" applyBorder="1" applyAlignment="1">
      <alignment horizontal="center"/>
    </xf>
    <xf numFmtId="0" fontId="52" fillId="0" borderId="0" xfId="1" applyFont="1" applyFill="1" applyBorder="1"/>
    <xf numFmtId="0" fontId="58" fillId="0" borderId="0" xfId="9" applyFont="1" applyFill="1" applyBorder="1"/>
    <xf numFmtId="166" fontId="58" fillId="0" borderId="0" xfId="10" applyNumberFormat="1" applyFont="1" applyFill="1" applyBorder="1" applyAlignment="1">
      <alignment horizontal="center"/>
    </xf>
    <xf numFmtId="167" fontId="58" fillId="0" borderId="0" xfId="10" applyNumberFormat="1" applyFont="1" applyFill="1" applyBorder="1" applyAlignment="1">
      <alignment horizontal="center"/>
    </xf>
    <xf numFmtId="168" fontId="52" fillId="0" borderId="0" xfId="9" applyNumberFormat="1" applyFont="1" applyFill="1" applyBorder="1" applyAlignment="1">
      <alignment horizontal="center"/>
    </xf>
    <xf numFmtId="0" fontId="12" fillId="0" borderId="22" xfId="1" applyFont="1" applyFill="1" applyBorder="1"/>
    <xf numFmtId="0" fontId="12" fillId="0" borderId="22" xfId="1" applyFont="1" applyFill="1" applyBorder="1" applyAlignment="1">
      <alignment horizontal="center"/>
    </xf>
    <xf numFmtId="164" fontId="12" fillId="0" borderId="22" xfId="10" applyFont="1" applyFill="1" applyBorder="1" applyAlignment="1">
      <alignment horizontal="center"/>
    </xf>
    <xf numFmtId="2" fontId="12" fillId="0" borderId="22" xfId="1" applyNumberFormat="1" applyFont="1" applyFill="1" applyBorder="1" applyAlignment="1">
      <alignment horizontal="left"/>
    </xf>
    <xf numFmtId="0" fontId="12" fillId="0" borderId="0" xfId="1" applyFont="1" applyFill="1" applyBorder="1" applyAlignment="1">
      <alignment horizontal="center"/>
    </xf>
    <xf numFmtId="0" fontId="52" fillId="0" borderId="0" xfId="1" applyFont="1" applyFill="1" applyAlignment="1">
      <alignment horizontal="left"/>
    </xf>
    <xf numFmtId="0" fontId="14" fillId="0" borderId="0" xfId="1" applyFont="1" applyFill="1"/>
    <xf numFmtId="166" fontId="14" fillId="0" borderId="0" xfId="1" applyNumberFormat="1" applyFont="1" applyFill="1" applyAlignment="1">
      <alignment horizontal="center"/>
    </xf>
    <xf numFmtId="0" fontId="53" fillId="0" borderId="27" xfId="1" applyFont="1" applyFill="1" applyBorder="1" applyAlignment="1">
      <alignment horizontal="left"/>
    </xf>
    <xf numFmtId="0" fontId="12" fillId="0" borderId="27" xfId="1" applyFont="1" applyFill="1" applyBorder="1"/>
    <xf numFmtId="0" fontId="12" fillId="0" borderId="27" xfId="1" applyFont="1" applyFill="1" applyBorder="1" applyAlignment="1">
      <alignment horizontal="center"/>
    </xf>
    <xf numFmtId="0" fontId="52" fillId="0" borderId="1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/>
    </xf>
    <xf numFmtId="0" fontId="18" fillId="0" borderId="42" xfId="9" applyFont="1" applyFill="1" applyBorder="1" applyAlignment="1">
      <alignment horizontal="center"/>
    </xf>
    <xf numFmtId="167" fontId="18" fillId="0" borderId="18" xfId="10" applyNumberFormat="1" applyFont="1" applyFill="1" applyBorder="1" applyAlignment="1">
      <alignment horizontal="center"/>
    </xf>
    <xf numFmtId="1" fontId="18" fillId="0" borderId="18" xfId="9" applyNumberFormat="1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/>
    </xf>
    <xf numFmtId="0" fontId="58" fillId="0" borderId="23" xfId="9" applyFont="1" applyFill="1" applyBorder="1"/>
    <xf numFmtId="4" fontId="58" fillId="0" borderId="2" xfId="10" applyNumberFormat="1" applyFont="1" applyFill="1" applyBorder="1" applyAlignment="1">
      <alignment horizontal="center"/>
    </xf>
    <xf numFmtId="1" fontId="58" fillId="0" borderId="2" xfId="9" applyNumberFormat="1" applyFont="1" applyFill="1" applyBorder="1" applyAlignment="1">
      <alignment horizontal="center"/>
    </xf>
    <xf numFmtId="0" fontId="30" fillId="0" borderId="16" xfId="1" applyFont="1" applyFill="1" applyBorder="1" applyAlignment="1">
      <alignment horizontal="center"/>
    </xf>
    <xf numFmtId="0" fontId="58" fillId="0" borderId="35" xfId="9" applyFont="1" applyFill="1" applyBorder="1"/>
    <xf numFmtId="4" fontId="58" fillId="0" borderId="16" xfId="10" applyNumberFormat="1" applyFont="1" applyFill="1" applyBorder="1" applyAlignment="1">
      <alignment horizontal="center"/>
    </xf>
    <xf numFmtId="167" fontId="58" fillId="0" borderId="1" xfId="10" applyNumberFormat="1" applyFont="1" applyFill="1" applyBorder="1" applyAlignment="1">
      <alignment horizontal="center"/>
    </xf>
    <xf numFmtId="1" fontId="58" fillId="0" borderId="16" xfId="9" applyNumberFormat="1" applyFont="1" applyFill="1" applyBorder="1" applyAlignment="1">
      <alignment horizontal="center"/>
    </xf>
    <xf numFmtId="0" fontId="30" fillId="0" borderId="35" xfId="9" applyFont="1" applyFill="1" applyBorder="1"/>
    <xf numFmtId="4" fontId="30" fillId="0" borderId="17" xfId="10" applyNumberFormat="1" applyFont="1" applyFill="1" applyBorder="1" applyAlignment="1">
      <alignment horizontal="center"/>
    </xf>
    <xf numFmtId="1" fontId="48" fillId="0" borderId="16" xfId="9" applyNumberFormat="1" applyFont="1" applyFill="1" applyBorder="1" applyAlignment="1">
      <alignment horizontal="center"/>
    </xf>
    <xf numFmtId="167" fontId="48" fillId="0" borderId="4" xfId="10" applyNumberFormat="1" applyFont="1" applyFill="1" applyBorder="1" applyAlignment="1">
      <alignment horizontal="center"/>
    </xf>
    <xf numFmtId="4" fontId="52" fillId="0" borderId="16" xfId="10" applyNumberFormat="1" applyFont="1" applyFill="1" applyBorder="1" applyAlignment="1">
      <alignment horizontal="center"/>
    </xf>
    <xf numFmtId="0" fontId="48" fillId="0" borderId="35" xfId="9" applyFont="1" applyFill="1" applyBorder="1"/>
    <xf numFmtId="4" fontId="48" fillId="0" borderId="16" xfId="10" applyNumberFormat="1" applyFont="1" applyFill="1" applyBorder="1" applyAlignment="1">
      <alignment horizontal="center"/>
    </xf>
    <xf numFmtId="167" fontId="48" fillId="0" borderId="14" xfId="10" applyNumberFormat="1" applyFont="1" applyFill="1" applyBorder="1" applyAlignment="1">
      <alignment horizontal="center"/>
    </xf>
    <xf numFmtId="167" fontId="48" fillId="0" borderId="43" xfId="10" applyNumberFormat="1" applyFont="1" applyFill="1" applyBorder="1" applyAlignment="1">
      <alignment horizontal="center"/>
    </xf>
    <xf numFmtId="0" fontId="52" fillId="0" borderId="35" xfId="9" applyFont="1" applyFill="1" applyBorder="1"/>
    <xf numFmtId="4" fontId="52" fillId="0" borderId="35" xfId="10" applyNumberFormat="1" applyFont="1" applyFill="1" applyBorder="1" applyAlignment="1">
      <alignment horizontal="center"/>
    </xf>
    <xf numFmtId="0" fontId="30" fillId="0" borderId="38" xfId="9" applyFont="1" applyFill="1" applyBorder="1"/>
    <xf numFmtId="0" fontId="52" fillId="0" borderId="38" xfId="9" applyFont="1" applyFill="1" applyBorder="1"/>
    <xf numFmtId="4" fontId="58" fillId="0" borderId="4" xfId="10" applyNumberFormat="1" applyFont="1" applyFill="1" applyBorder="1" applyAlignment="1">
      <alignment horizontal="center"/>
    </xf>
    <xf numFmtId="4" fontId="52" fillId="0" borderId="17" xfId="10" applyNumberFormat="1" applyFont="1" applyFill="1" applyBorder="1" applyAlignment="1">
      <alignment horizontal="center"/>
    </xf>
    <xf numFmtId="0" fontId="52" fillId="0" borderId="16" xfId="9" applyFont="1" applyFill="1" applyBorder="1"/>
    <xf numFmtId="0" fontId="52" fillId="0" borderId="25" xfId="9" applyFont="1" applyFill="1" applyBorder="1"/>
    <xf numFmtId="0" fontId="30" fillId="0" borderId="4" xfId="1" applyFont="1" applyFill="1" applyBorder="1" applyAlignment="1">
      <alignment horizontal="center"/>
    </xf>
    <xf numFmtId="0" fontId="48" fillId="0" borderId="35" xfId="9" applyFont="1" applyFill="1" applyBorder="1" applyAlignment="1">
      <alignment wrapText="1"/>
    </xf>
    <xf numFmtId="4" fontId="30" fillId="0" borderId="47" xfId="10" applyNumberFormat="1" applyFont="1" applyFill="1" applyBorder="1" applyAlignment="1">
      <alignment horizontal="center"/>
    </xf>
    <xf numFmtId="1" fontId="48" fillId="0" borderId="43" xfId="9" applyNumberFormat="1" applyFont="1" applyFill="1" applyBorder="1" applyAlignment="1">
      <alignment horizontal="center"/>
    </xf>
    <xf numFmtId="0" fontId="48" fillId="0" borderId="42" xfId="9" applyFont="1" applyFill="1" applyBorder="1"/>
    <xf numFmtId="167" fontId="48" fillId="0" borderId="18" xfId="10" applyNumberFormat="1" applyFont="1" applyFill="1" applyBorder="1" applyAlignment="1">
      <alignment horizontal="center"/>
    </xf>
    <xf numFmtId="0" fontId="30" fillId="0" borderId="14" xfId="1" applyFont="1" applyFill="1" applyBorder="1" applyAlignment="1">
      <alignment horizontal="center"/>
    </xf>
    <xf numFmtId="0" fontId="48" fillId="0" borderId="41" xfId="9" applyFont="1" applyFill="1" applyBorder="1"/>
    <xf numFmtId="4" fontId="30" fillId="0" borderId="12" xfId="10" applyNumberFormat="1" applyFont="1" applyFill="1" applyBorder="1" applyAlignment="1">
      <alignment horizontal="center"/>
    </xf>
    <xf numFmtId="167" fontId="48" fillId="0" borderId="2" xfId="10" applyNumberFormat="1" applyFont="1" applyFill="1" applyBorder="1" applyAlignment="1">
      <alignment horizontal="center"/>
    </xf>
    <xf numFmtId="1" fontId="48" fillId="0" borderId="14" xfId="9" applyNumberFormat="1" applyFont="1" applyFill="1" applyBorder="1" applyAlignment="1">
      <alignment horizontal="center"/>
    </xf>
    <xf numFmtId="0" fontId="48" fillId="0" borderId="25" xfId="9" applyFont="1" applyFill="1" applyBorder="1"/>
    <xf numFmtId="4" fontId="30" fillId="0" borderId="4" xfId="10" applyNumberFormat="1" applyFont="1" applyFill="1" applyBorder="1" applyAlignment="1">
      <alignment horizontal="center"/>
    </xf>
    <xf numFmtId="0" fontId="30" fillId="0" borderId="43" xfId="1" applyFont="1" applyFill="1" applyBorder="1" applyAlignment="1">
      <alignment horizontal="center"/>
    </xf>
    <xf numFmtId="0" fontId="30" fillId="0" borderId="42" xfId="9" applyFont="1" applyFill="1" applyBorder="1"/>
    <xf numFmtId="0" fontId="30" fillId="0" borderId="20" xfId="1" applyFont="1" applyFill="1" applyBorder="1" applyAlignment="1">
      <alignment horizontal="center"/>
    </xf>
    <xf numFmtId="0" fontId="58" fillId="0" borderId="28" xfId="9" applyFont="1" applyFill="1" applyBorder="1"/>
    <xf numFmtId="4" fontId="58" fillId="0" borderId="20" xfId="10" applyNumberFormat="1" applyFont="1" applyFill="1" applyBorder="1" applyAlignment="1">
      <alignment horizontal="center"/>
    </xf>
    <xf numFmtId="167" fontId="58" fillId="0" borderId="20" xfId="10" applyNumberFormat="1" applyFont="1" applyFill="1" applyBorder="1" applyAlignment="1">
      <alignment horizontal="center"/>
    </xf>
    <xf numFmtId="1" fontId="58" fillId="0" borderId="20" xfId="9" applyNumberFormat="1" applyFont="1" applyFill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164" fontId="58" fillId="0" borderId="0" xfId="10" applyFont="1" applyFill="1" applyBorder="1"/>
    <xf numFmtId="164" fontId="58" fillId="0" borderId="0" xfId="10" applyFont="1" applyFill="1" applyBorder="1" applyAlignment="1">
      <alignment horizontal="center"/>
    </xf>
    <xf numFmtId="1" fontId="52" fillId="0" borderId="0" xfId="9" applyNumberFormat="1" applyFont="1" applyFill="1" applyBorder="1" applyAlignment="1">
      <alignment horizontal="center"/>
    </xf>
    <xf numFmtId="4" fontId="39" fillId="0" borderId="0" xfId="1" applyNumberFormat="1" applyFont="1" applyBorder="1"/>
    <xf numFmtId="172" fontId="39" fillId="0" borderId="0" xfId="1" applyNumberFormat="1" applyFont="1" applyBorder="1"/>
    <xf numFmtId="0" fontId="9" fillId="0" borderId="0" xfId="1" applyFont="1"/>
    <xf numFmtId="172" fontId="39" fillId="0" borderId="0" xfId="1" applyNumberFormat="1" applyFont="1"/>
    <xf numFmtId="0" fontId="59" fillId="0" borderId="0" xfId="9" applyFont="1"/>
    <xf numFmtId="4" fontId="39" fillId="0" borderId="27" xfId="1" applyNumberFormat="1" applyFont="1" applyBorder="1"/>
    <xf numFmtId="0" fontId="54" fillId="0" borderId="1" xfId="1" applyFont="1" applyBorder="1" applyAlignment="1">
      <alignment horizontal="center"/>
    </xf>
    <xf numFmtId="0" fontId="54" fillId="3" borderId="1" xfId="9" applyFont="1" applyFill="1" applyBorder="1" applyAlignment="1">
      <alignment horizontal="center"/>
    </xf>
    <xf numFmtId="172" fontId="54" fillId="0" borderId="1" xfId="1" applyNumberFormat="1" applyFont="1" applyFill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3" borderId="14" xfId="9" applyFont="1" applyFill="1" applyBorder="1" applyAlignment="1">
      <alignment horizontal="center" wrapText="1"/>
    </xf>
    <xf numFmtId="0" fontId="12" fillId="0" borderId="14" xfId="1" applyFont="1" applyBorder="1" applyAlignment="1">
      <alignment horizontal="center"/>
    </xf>
    <xf numFmtId="0" fontId="39" fillId="0" borderId="14" xfId="1" applyFont="1" applyBorder="1" applyAlignment="1">
      <alignment horizontal="center"/>
    </xf>
    <xf numFmtId="16" fontId="54" fillId="3" borderId="14" xfId="9" quotePrefix="1" applyNumberFormat="1" applyFont="1" applyFill="1" applyBorder="1" applyAlignment="1">
      <alignment horizontal="center"/>
    </xf>
    <xf numFmtId="0" fontId="42" fillId="0" borderId="6" xfId="1" applyFont="1" applyBorder="1" applyAlignment="1">
      <alignment horizontal="center"/>
    </xf>
    <xf numFmtId="0" fontId="42" fillId="3" borderId="6" xfId="9" applyFont="1" applyFill="1" applyBorder="1" applyAlignment="1">
      <alignment horizontal="center"/>
    </xf>
    <xf numFmtId="3" fontId="42" fillId="3" borderId="6" xfId="15" quotePrefix="1" applyNumberFormat="1" applyFont="1" applyFill="1" applyBorder="1" applyAlignment="1">
      <alignment horizontal="center"/>
    </xf>
    <xf numFmtId="3" fontId="42" fillId="0" borderId="6" xfId="15" applyNumberFormat="1" applyFont="1" applyFill="1" applyBorder="1" applyAlignment="1">
      <alignment horizontal="center"/>
    </xf>
    <xf numFmtId="1" fontId="42" fillId="3" borderId="18" xfId="9" applyNumberFormat="1" applyFont="1" applyFill="1" applyBorder="1" applyAlignment="1">
      <alignment horizontal="center"/>
    </xf>
    <xf numFmtId="0" fontId="27" fillId="0" borderId="2" xfId="1" applyFont="1" applyBorder="1"/>
    <xf numFmtId="0" fontId="27" fillId="3" borderId="9" xfId="9" applyFont="1" applyFill="1" applyBorder="1"/>
    <xf numFmtId="4" fontId="27" fillId="0" borderId="24" xfId="1" applyNumberFormat="1" applyFont="1" applyBorder="1" applyAlignment="1">
      <alignment horizontal="center"/>
    </xf>
    <xf numFmtId="172" fontId="27" fillId="0" borderId="2" xfId="1" applyNumberFormat="1" applyFont="1" applyBorder="1" applyAlignment="1">
      <alignment horizontal="center"/>
    </xf>
    <xf numFmtId="3" fontId="27" fillId="0" borderId="2" xfId="1" applyNumberFormat="1" applyFont="1" applyBorder="1" applyAlignment="1">
      <alignment horizontal="center"/>
    </xf>
    <xf numFmtId="0" fontId="27" fillId="0" borderId="12" xfId="1" applyFont="1" applyBorder="1"/>
    <xf numFmtId="0" fontId="40" fillId="3" borderId="22" xfId="9" applyFont="1" applyFill="1" applyBorder="1"/>
    <xf numFmtId="4" fontId="27" fillId="0" borderId="23" xfId="1" applyNumberFormat="1" applyFont="1" applyBorder="1" applyAlignment="1">
      <alignment horizontal="center"/>
    </xf>
    <xf numFmtId="172" fontId="27" fillId="0" borderId="2" xfId="15" applyNumberFormat="1" applyFont="1" applyBorder="1" applyAlignment="1">
      <alignment horizontal="center"/>
    </xf>
    <xf numFmtId="0" fontId="24" fillId="0" borderId="14" xfId="1" applyFont="1" applyBorder="1"/>
    <xf numFmtId="0" fontId="24" fillId="0" borderId="34" xfId="9" applyFont="1" applyBorder="1" applyAlignment="1">
      <alignment wrapText="1"/>
    </xf>
    <xf numFmtId="4" fontId="24" fillId="0" borderId="33" xfId="1" applyNumberFormat="1" applyFont="1" applyBorder="1" applyAlignment="1">
      <alignment horizontal="center"/>
    </xf>
    <xf numFmtId="172" fontId="24" fillId="0" borderId="14" xfId="1" applyNumberFormat="1" applyFont="1" applyBorder="1" applyAlignment="1">
      <alignment horizontal="center"/>
    </xf>
    <xf numFmtId="172" fontId="24" fillId="0" borderId="14" xfId="15" applyNumberFormat="1" applyFont="1" applyBorder="1" applyAlignment="1">
      <alignment horizontal="center"/>
    </xf>
    <xf numFmtId="3" fontId="24" fillId="0" borderId="14" xfId="1" applyNumberFormat="1" applyFont="1" applyBorder="1" applyAlignment="1">
      <alignment horizontal="center"/>
    </xf>
    <xf numFmtId="0" fontId="24" fillId="0" borderId="16" xfId="1" applyFont="1" applyBorder="1"/>
    <xf numFmtId="0" fontId="24" fillId="0" borderId="36" xfId="9" applyFont="1" applyBorder="1" applyAlignment="1">
      <alignment wrapText="1"/>
    </xf>
    <xf numFmtId="4" fontId="24" fillId="0" borderId="35" xfId="1" applyNumberFormat="1" applyFont="1" applyBorder="1" applyAlignment="1">
      <alignment horizontal="center"/>
    </xf>
    <xf numFmtId="172" fontId="24" fillId="0" borderId="16" xfId="1" applyNumberFormat="1" applyFont="1" applyBorder="1" applyAlignment="1">
      <alignment horizontal="center"/>
    </xf>
    <xf numFmtId="172" fontId="24" fillId="0" borderId="16" xfId="15" applyNumberFormat="1" applyFont="1" applyBorder="1" applyAlignment="1">
      <alignment horizontal="center"/>
    </xf>
    <xf numFmtId="3" fontId="24" fillId="0" borderId="16" xfId="1" applyNumberFormat="1" applyFont="1" applyBorder="1" applyAlignment="1">
      <alignment horizontal="center"/>
    </xf>
    <xf numFmtId="0" fontId="24" fillId="0" borderId="18" xfId="1" applyFont="1" applyBorder="1"/>
    <xf numFmtId="0" fontId="24" fillId="0" borderId="46" xfId="9" applyFont="1" applyBorder="1"/>
    <xf numFmtId="172" fontId="24" fillId="0" borderId="18" xfId="1" applyNumberFormat="1" applyFont="1" applyBorder="1" applyAlignment="1">
      <alignment horizontal="center"/>
    </xf>
    <xf numFmtId="4" fontId="24" fillId="0" borderId="42" xfId="1" applyNumberFormat="1" applyFont="1" applyBorder="1" applyAlignment="1">
      <alignment horizontal="center"/>
    </xf>
    <xf numFmtId="172" fontId="24" fillId="0" borderId="18" xfId="15" applyNumberFormat="1" applyFont="1" applyBorder="1" applyAlignment="1">
      <alignment horizontal="center"/>
    </xf>
    <xf numFmtId="3" fontId="24" fillId="0" borderId="18" xfId="1" applyNumberFormat="1" applyFont="1" applyBorder="1" applyAlignment="1">
      <alignment horizontal="center"/>
    </xf>
    <xf numFmtId="0" fontId="27" fillId="0" borderId="6" xfId="1" applyFont="1" applyBorder="1"/>
    <xf numFmtId="0" fontId="27" fillId="0" borderId="6" xfId="9" applyFont="1" applyBorder="1"/>
    <xf numFmtId="4" fontId="27" fillId="0" borderId="2" xfId="1" applyNumberFormat="1" applyFont="1" applyBorder="1" applyAlignment="1">
      <alignment horizontal="center"/>
    </xf>
    <xf numFmtId="172" fontId="27" fillId="0" borderId="6" xfId="1" applyNumberFormat="1" applyFont="1" applyBorder="1" applyAlignment="1">
      <alignment horizontal="center"/>
    </xf>
    <xf numFmtId="4" fontId="27" fillId="0" borderId="26" xfId="1" applyNumberFormat="1" applyFont="1" applyBorder="1" applyAlignment="1">
      <alignment horizontal="center"/>
    </xf>
    <xf numFmtId="172" fontId="27" fillId="0" borderId="6" xfId="15" applyNumberFormat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0" fontId="24" fillId="0" borderId="12" xfId="9" applyFont="1" applyFill="1" applyBorder="1"/>
    <xf numFmtId="4" fontId="24" fillId="0" borderId="34" xfId="1" applyNumberFormat="1" applyFont="1" applyFill="1" applyBorder="1" applyAlignment="1">
      <alignment horizontal="center"/>
    </xf>
    <xf numFmtId="172" fontId="24" fillId="0" borderId="14" xfId="1" applyNumberFormat="1" applyFont="1" applyFill="1" applyBorder="1" applyAlignment="1">
      <alignment horizontal="center"/>
    </xf>
    <xf numFmtId="0" fontId="24" fillId="0" borderId="14" xfId="9" applyFont="1" applyFill="1" applyBorder="1"/>
    <xf numFmtId="0" fontId="24" fillId="0" borderId="4" xfId="1" applyFont="1" applyFill="1" applyBorder="1"/>
    <xf numFmtId="0" fontId="24" fillId="0" borderId="16" xfId="9" applyFont="1" applyFill="1" applyBorder="1"/>
    <xf numFmtId="3" fontId="24" fillId="0" borderId="43" xfId="1" applyNumberFormat="1" applyFont="1" applyBorder="1" applyAlignment="1">
      <alignment horizontal="center"/>
    </xf>
    <xf numFmtId="0" fontId="24" fillId="0" borderId="6" xfId="9" applyFont="1" applyFill="1" applyBorder="1"/>
    <xf numFmtId="4" fontId="24" fillId="0" borderId="25" xfId="1" applyNumberFormat="1" applyFont="1" applyBorder="1" applyAlignment="1">
      <alignment horizontal="center"/>
    </xf>
    <xf numFmtId="0" fontId="40" fillId="3" borderId="45" xfId="9" applyFont="1" applyFill="1" applyBorder="1"/>
    <xf numFmtId="0" fontId="40" fillId="0" borderId="23" xfId="9" applyFont="1" applyFill="1" applyBorder="1"/>
    <xf numFmtId="0" fontId="27" fillId="0" borderId="20" xfId="1" applyFont="1" applyBorder="1"/>
    <xf numFmtId="0" fontId="27" fillId="3" borderId="29" xfId="9" applyFont="1" applyFill="1" applyBorder="1"/>
    <xf numFmtId="4" fontId="27" fillId="0" borderId="28" xfId="1" applyNumberFormat="1" applyFont="1" applyBorder="1" applyAlignment="1">
      <alignment horizontal="center"/>
    </xf>
    <xf numFmtId="3" fontId="27" fillId="0" borderId="20" xfId="1" applyNumberFormat="1" applyFont="1" applyBorder="1" applyAlignment="1">
      <alignment horizontal="center"/>
    </xf>
    <xf numFmtId="0" fontId="27" fillId="0" borderId="2" xfId="1" applyFont="1" applyBorder="1" applyAlignment="1">
      <alignment horizontal="left"/>
    </xf>
    <xf numFmtId="0" fontId="23" fillId="3" borderId="2" xfId="9" applyFont="1" applyFill="1" applyBorder="1"/>
    <xf numFmtId="0" fontId="23" fillId="0" borderId="14" xfId="1" applyFont="1" applyBorder="1" applyAlignment="1">
      <alignment horizontal="left"/>
    </xf>
    <xf numFmtId="0" fontId="23" fillId="3" borderId="14" xfId="9" applyFont="1" applyFill="1" applyBorder="1"/>
    <xf numFmtId="4" fontId="27" fillId="0" borderId="25" xfId="1" applyNumberFormat="1" applyFont="1" applyBorder="1" applyAlignment="1">
      <alignment horizontal="center"/>
    </xf>
    <xf numFmtId="172" fontId="27" fillId="0" borderId="4" xfId="1" applyNumberFormat="1" applyFont="1" applyBorder="1" applyAlignment="1">
      <alignment horizontal="center"/>
    </xf>
    <xf numFmtId="3" fontId="27" fillId="0" borderId="12" xfId="1" applyNumberFormat="1" applyFont="1" applyBorder="1" applyAlignment="1">
      <alignment horizontal="center"/>
    </xf>
    <xf numFmtId="0" fontId="13" fillId="0" borderId="16" xfId="1" applyFont="1" applyBorder="1" applyAlignment="1">
      <alignment horizontal="left"/>
    </xf>
    <xf numFmtId="0" fontId="34" fillId="3" borderId="16" xfId="9" applyFont="1" applyFill="1" applyBorder="1"/>
    <xf numFmtId="0" fontId="34" fillId="3" borderId="35" xfId="9" applyFont="1" applyFill="1" applyBorder="1"/>
    <xf numFmtId="0" fontId="23" fillId="0" borderId="16" xfId="1" applyFont="1" applyBorder="1" applyAlignment="1">
      <alignment horizontal="left"/>
    </xf>
    <xf numFmtId="0" fontId="20" fillId="3" borderId="35" xfId="9" applyFont="1" applyFill="1" applyBorder="1"/>
    <xf numFmtId="4" fontId="27" fillId="0" borderId="35" xfId="1" applyNumberFormat="1" applyFont="1" applyBorder="1" applyAlignment="1">
      <alignment horizontal="center"/>
    </xf>
    <xf numFmtId="172" fontId="27" fillId="0" borderId="16" xfId="1" applyNumberFormat="1" applyFont="1" applyBorder="1" applyAlignment="1">
      <alignment horizontal="center"/>
    </xf>
    <xf numFmtId="3" fontId="27" fillId="0" borderId="16" xfId="1" applyNumberFormat="1" applyFont="1" applyBorder="1" applyAlignment="1">
      <alignment horizontal="center"/>
    </xf>
    <xf numFmtId="0" fontId="20" fillId="3" borderId="38" xfId="9" applyFont="1" applyFill="1" applyBorder="1"/>
    <xf numFmtId="4" fontId="27" fillId="0" borderId="33" xfId="15" applyNumberFormat="1" applyFont="1" applyBorder="1" applyAlignment="1">
      <alignment horizontal="center"/>
    </xf>
    <xf numFmtId="4" fontId="27" fillId="0" borderId="33" xfId="1" applyNumberFormat="1" applyFont="1" applyBorder="1" applyAlignment="1">
      <alignment horizontal="center"/>
    </xf>
    <xf numFmtId="3" fontId="27" fillId="0" borderId="18" xfId="1" applyNumberFormat="1" applyFont="1" applyBorder="1" applyAlignment="1">
      <alignment horizontal="center"/>
    </xf>
    <xf numFmtId="0" fontId="27" fillId="0" borderId="23" xfId="9" applyFont="1" applyFill="1" applyBorder="1"/>
    <xf numFmtId="3" fontId="27" fillId="0" borderId="14" xfId="1" applyNumberFormat="1" applyFont="1" applyBorder="1" applyAlignment="1">
      <alignment horizontal="center"/>
    </xf>
    <xf numFmtId="164" fontId="27" fillId="0" borderId="23" xfId="1" applyNumberFormat="1" applyFont="1" applyBorder="1" applyAlignment="1">
      <alignment horizontal="center"/>
    </xf>
    <xf numFmtId="0" fontId="27" fillId="0" borderId="2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0" fontId="27" fillId="3" borderId="53" xfId="9" applyFont="1" applyFill="1" applyBorder="1" applyAlignment="1"/>
    <xf numFmtId="4" fontId="27" fillId="0" borderId="0" xfId="1" applyNumberFormat="1" applyFont="1" applyBorder="1" applyAlignment="1">
      <alignment horizontal="center"/>
    </xf>
    <xf numFmtId="3" fontId="27" fillId="0" borderId="0" xfId="1" applyNumberFormat="1" applyFont="1" applyBorder="1" applyAlignment="1">
      <alignment horizontal="center"/>
    </xf>
    <xf numFmtId="172" fontId="27" fillId="0" borderId="0" xfId="1" applyNumberFormat="1" applyFont="1" applyBorder="1" applyAlignment="1">
      <alignment horizontal="center"/>
    </xf>
    <xf numFmtId="0" fontId="27" fillId="3" borderId="0" xfId="9" applyFont="1" applyFill="1" applyBorder="1" applyAlignment="1"/>
    <xf numFmtId="0" fontId="39" fillId="0" borderId="27" xfId="1" applyFont="1" applyBorder="1"/>
    <xf numFmtId="172" fontId="39" fillId="0" borderId="27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righ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3" fillId="0" borderId="0" xfId="5" applyFont="1" applyAlignment="1">
      <alignment horizontal="left" vertical="top" wrapText="1"/>
    </xf>
    <xf numFmtId="0" fontId="23" fillId="3" borderId="1" xfId="5" applyFont="1" applyFill="1" applyBorder="1" applyAlignment="1">
      <alignment horizontal="center" wrapText="1"/>
    </xf>
    <xf numFmtId="0" fontId="23" fillId="3" borderId="4" xfId="5" applyFont="1" applyFill="1" applyBorder="1" applyAlignment="1">
      <alignment horizontal="center"/>
    </xf>
    <xf numFmtId="0" fontId="23" fillId="3" borderId="11" xfId="5" applyFont="1" applyFill="1" applyBorder="1" applyAlignment="1">
      <alignment horizontal="center"/>
    </xf>
    <xf numFmtId="0" fontId="23" fillId="3" borderId="9" xfId="5" applyFont="1" applyFill="1" applyBorder="1" applyAlignment="1">
      <alignment horizontal="center" vertical="center"/>
    </xf>
    <xf numFmtId="0" fontId="23" fillId="3" borderId="10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1" fillId="0" borderId="11" xfId="1" applyFont="1" applyBorder="1" applyAlignment="1">
      <alignment vertical="center"/>
    </xf>
    <xf numFmtId="0" fontId="24" fillId="0" borderId="0" xfId="1" applyFont="1" applyAlignment="1">
      <alignment horizontal="left" wrapText="1"/>
    </xf>
    <xf numFmtId="0" fontId="13" fillId="0" borderId="0" xfId="5" applyFont="1" applyBorder="1" applyAlignment="1">
      <alignment horizontal="left" wrapText="1"/>
    </xf>
    <xf numFmtId="0" fontId="28" fillId="0" borderId="0" xfId="5" applyFont="1" applyBorder="1" applyAlignment="1">
      <alignment horizontal="left" wrapText="1"/>
    </xf>
    <xf numFmtId="0" fontId="23" fillId="0" borderId="28" xfId="5" applyFont="1" applyBorder="1" applyAlignment="1">
      <alignment horizontal="center"/>
    </xf>
    <xf numFmtId="0" fontId="23" fillId="0" borderId="29" xfId="5" applyFont="1" applyBorder="1" applyAlignment="1">
      <alignment horizontal="center"/>
    </xf>
    <xf numFmtId="0" fontId="23" fillId="0" borderId="20" xfId="5" applyFont="1" applyBorder="1" applyAlignment="1">
      <alignment horizontal="center" wrapText="1"/>
    </xf>
    <xf numFmtId="0" fontId="30" fillId="0" borderId="30" xfId="5" applyFont="1" applyBorder="1" applyAlignment="1">
      <alignment horizontal="center" vertical="center"/>
    </xf>
    <xf numFmtId="0" fontId="30" fillId="0" borderId="31" xfId="5" applyFont="1" applyBorder="1" applyAlignment="1">
      <alignment horizontal="center" vertical="center"/>
    </xf>
    <xf numFmtId="0" fontId="30" fillId="0" borderId="6" xfId="5" applyFont="1" applyBorder="1" applyAlignment="1">
      <alignment horizontal="center" vertical="center"/>
    </xf>
    <xf numFmtId="3" fontId="13" fillId="0" borderId="12" xfId="10" applyNumberFormat="1" applyFont="1" applyBorder="1" applyAlignment="1">
      <alignment horizontal="center"/>
    </xf>
    <xf numFmtId="3" fontId="13" fillId="0" borderId="14" xfId="10" applyNumberFormat="1" applyFont="1" applyBorder="1" applyAlignment="1">
      <alignment horizontal="center"/>
    </xf>
    <xf numFmtId="3" fontId="13" fillId="0" borderId="16" xfId="10" applyNumberFormat="1" applyFont="1" applyBorder="1" applyAlignment="1">
      <alignment horizontal="center"/>
    </xf>
    <xf numFmtId="0" fontId="20" fillId="0" borderId="2" xfId="5" applyFont="1" applyBorder="1" applyAlignment="1">
      <alignment horizontal="center"/>
    </xf>
    <xf numFmtId="3" fontId="34" fillId="0" borderId="6" xfId="10" applyNumberFormat="1" applyFont="1" applyBorder="1" applyAlignment="1">
      <alignment horizontal="center"/>
    </xf>
    <xf numFmtId="3" fontId="23" fillId="0" borderId="21" xfId="10" applyNumberFormat="1" applyFont="1" applyBorder="1" applyAlignment="1">
      <alignment horizontal="center"/>
    </xf>
    <xf numFmtId="3" fontId="23" fillId="0" borderId="20" xfId="10" applyNumberFormat="1" applyFont="1" applyBorder="1" applyAlignment="1">
      <alignment horizontal="center"/>
    </xf>
    <xf numFmtId="0" fontId="13" fillId="4" borderId="0" xfId="5" applyFont="1" applyFill="1" applyBorder="1" applyAlignment="1">
      <alignment horizontal="left" vertical="top" wrapText="1"/>
    </xf>
    <xf numFmtId="1" fontId="20" fillId="0" borderId="2" xfId="5" quotePrefix="1" applyNumberFormat="1" applyFont="1" applyFill="1" applyBorder="1" applyAlignment="1">
      <alignment horizontal="center"/>
    </xf>
    <xf numFmtId="0" fontId="20" fillId="0" borderId="2" xfId="5" quotePrefix="1" applyFont="1" applyBorder="1" applyAlignment="1">
      <alignment horizontal="center"/>
    </xf>
    <xf numFmtId="1" fontId="30" fillId="0" borderId="2" xfId="5" applyNumberFormat="1" applyFont="1" applyFill="1" applyBorder="1" applyAlignment="1">
      <alignment horizontal="center"/>
    </xf>
    <xf numFmtId="0" fontId="30" fillId="0" borderId="2" xfId="5" applyFont="1" applyBorder="1" applyAlignment="1">
      <alignment horizontal="center"/>
    </xf>
    <xf numFmtId="1" fontId="13" fillId="0" borderId="20" xfId="5" applyNumberFormat="1" applyFont="1" applyFill="1" applyBorder="1" applyAlignment="1">
      <alignment horizontal="center"/>
    </xf>
    <xf numFmtId="0" fontId="13" fillId="0" borderId="20" xfId="5" applyFont="1" applyBorder="1" applyAlignment="1">
      <alignment horizontal="center"/>
    </xf>
    <xf numFmtId="1" fontId="23" fillId="0" borderId="6" xfId="5" applyNumberFormat="1" applyFont="1" applyFill="1" applyBorder="1" applyAlignment="1">
      <alignment horizontal="center"/>
    </xf>
    <xf numFmtId="1" fontId="23" fillId="0" borderId="6" xfId="5" applyNumberFormat="1" applyFont="1" applyBorder="1" applyAlignment="1">
      <alignment horizontal="center"/>
    </xf>
    <xf numFmtId="0" fontId="13" fillId="0" borderId="0" xfId="5" applyFont="1" applyFill="1" applyBorder="1" applyAlignment="1">
      <alignment horizontal="left" vertical="top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4" xfId="5" applyFont="1" applyFill="1" applyBorder="1" applyAlignment="1">
      <alignment horizontal="center" vertical="center" wrapText="1"/>
    </xf>
    <xf numFmtId="0" fontId="20" fillId="0" borderId="24" xfId="5" applyFont="1" applyFill="1" applyBorder="1" applyAlignment="1">
      <alignment horizontal="center" vertical="center" wrapText="1"/>
    </xf>
    <xf numFmtId="0" fontId="20" fillId="0" borderId="3" xfId="5" applyFont="1" applyFill="1" applyBorder="1" applyAlignment="1">
      <alignment horizontal="center" vertical="center" wrapText="1"/>
    </xf>
    <xf numFmtId="0" fontId="20" fillId="0" borderId="39" xfId="5" applyFont="1" applyFill="1" applyBorder="1" applyAlignment="1">
      <alignment horizontal="center" vertical="center" wrapText="1"/>
    </xf>
    <xf numFmtId="0" fontId="20" fillId="0" borderId="40" xfId="5" applyFont="1" applyFill="1" applyBorder="1" applyAlignment="1">
      <alignment horizontal="center" vertical="center" wrapText="1"/>
    </xf>
    <xf numFmtId="0" fontId="30" fillId="0" borderId="30" xfId="5" applyFont="1" applyFill="1" applyBorder="1" applyAlignment="1">
      <alignment horizontal="center" vertical="center"/>
    </xf>
    <xf numFmtId="0" fontId="30" fillId="0" borderId="31" xfId="5" applyFont="1" applyFill="1" applyBorder="1" applyAlignment="1">
      <alignment horizontal="center" vertical="center"/>
    </xf>
    <xf numFmtId="0" fontId="13" fillId="0" borderId="41" xfId="5" applyFont="1" applyFill="1" applyBorder="1" applyAlignment="1">
      <alignment horizontal="center"/>
    </xf>
    <xf numFmtId="0" fontId="13" fillId="0" borderId="13" xfId="5" applyFont="1" applyFill="1" applyBorder="1" applyAlignment="1">
      <alignment horizontal="center"/>
    </xf>
    <xf numFmtId="0" fontId="13" fillId="0" borderId="35" xfId="5" applyFont="1" applyFill="1" applyBorder="1" applyAlignment="1">
      <alignment horizontal="center"/>
    </xf>
    <xf numFmtId="0" fontId="13" fillId="0" borderId="17" xfId="5" applyFont="1" applyFill="1" applyBorder="1" applyAlignment="1">
      <alignment horizontal="center"/>
    </xf>
    <xf numFmtId="0" fontId="23" fillId="0" borderId="28" xfId="5" applyFont="1" applyFill="1" applyBorder="1" applyAlignment="1">
      <alignment horizontal="center"/>
    </xf>
    <xf numFmtId="0" fontId="23" fillId="0" borderId="21" xfId="5" applyFont="1" applyFill="1" applyBorder="1" applyAlignment="1">
      <alignment horizontal="center"/>
    </xf>
    <xf numFmtId="0" fontId="34" fillId="0" borderId="0" xfId="5" applyFont="1" applyFill="1" applyBorder="1" applyAlignment="1">
      <alignment horizontal="left"/>
    </xf>
    <xf numFmtId="0" fontId="13" fillId="0" borderId="42" xfId="5" applyFont="1" applyFill="1" applyBorder="1" applyAlignment="1">
      <alignment horizontal="center"/>
    </xf>
    <xf numFmtId="0" fontId="13" fillId="0" borderId="19" xfId="5" applyFont="1" applyFill="1" applyBorder="1" applyAlignment="1">
      <alignment horizontal="center"/>
    </xf>
    <xf numFmtId="0" fontId="24" fillId="0" borderId="0" xfId="5" applyFont="1" applyAlignment="1">
      <alignment horizontal="left" wrapText="1"/>
    </xf>
    <xf numFmtId="0" fontId="40" fillId="3" borderId="1" xfId="5" applyFont="1" applyFill="1" applyBorder="1" applyAlignment="1">
      <alignment horizontal="center" wrapText="1"/>
    </xf>
    <xf numFmtId="0" fontId="40" fillId="3" borderId="6" xfId="5" applyFont="1" applyFill="1" applyBorder="1" applyAlignment="1">
      <alignment horizontal="center" wrapText="1"/>
    </xf>
    <xf numFmtId="0" fontId="27" fillId="3" borderId="4" xfId="5" applyFont="1" applyFill="1" applyBorder="1" applyAlignment="1">
      <alignment horizontal="left"/>
    </xf>
    <xf numFmtId="0" fontId="27" fillId="3" borderId="6" xfId="5" applyFont="1" applyFill="1" applyBorder="1" applyAlignment="1">
      <alignment horizontal="left"/>
    </xf>
    <xf numFmtId="3" fontId="40" fillId="0" borderId="4" xfId="1" applyNumberFormat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24" fillId="0" borderId="0" xfId="5" applyFont="1" applyAlignment="1">
      <alignment horizontal="left" vertical="top" wrapText="1"/>
    </xf>
    <xf numFmtId="0" fontId="45" fillId="0" borderId="1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4" fillId="0" borderId="24" xfId="5" applyFont="1" applyBorder="1" applyAlignment="1">
      <alignment horizontal="center" vertical="center"/>
    </xf>
    <xf numFmtId="0" fontId="44" fillId="0" borderId="22" xfId="5" applyFont="1" applyBorder="1" applyAlignment="1">
      <alignment horizontal="center" vertical="center"/>
    </xf>
    <xf numFmtId="0" fontId="44" fillId="0" borderId="3" xfId="5" applyFont="1" applyBorder="1" applyAlignment="1">
      <alignment horizontal="center" vertical="center"/>
    </xf>
    <xf numFmtId="0" fontId="44" fillId="0" borderId="26" xfId="5" applyFont="1" applyBorder="1" applyAlignment="1">
      <alignment horizontal="center" vertical="center"/>
    </xf>
    <xf numFmtId="0" fontId="44" fillId="0" borderId="27" xfId="5" applyFont="1" applyBorder="1" applyAlignment="1">
      <alignment horizontal="center" vertical="center"/>
    </xf>
    <xf numFmtId="0" fontId="44" fillId="0" borderId="7" xfId="5" applyFont="1" applyBorder="1" applyAlignment="1">
      <alignment horizontal="center" vertical="center"/>
    </xf>
    <xf numFmtId="0" fontId="44" fillId="0" borderId="1" xfId="5" applyFont="1" applyBorder="1" applyAlignment="1">
      <alignment horizontal="center" vertical="center" wrapText="1"/>
    </xf>
    <xf numFmtId="0" fontId="44" fillId="0" borderId="6" xfId="5" applyFont="1" applyBorder="1" applyAlignment="1">
      <alignment horizontal="center" vertical="center" wrapText="1"/>
    </xf>
    <xf numFmtId="0" fontId="46" fillId="0" borderId="1" xfId="9" applyFont="1" applyFill="1" applyBorder="1" applyAlignment="1">
      <alignment horizontal="center" vertical="center" wrapText="1"/>
    </xf>
    <xf numFmtId="0" fontId="46" fillId="0" borderId="6" xfId="9" applyFont="1" applyFill="1" applyBorder="1" applyAlignment="1">
      <alignment horizontal="center" vertical="center" wrapText="1"/>
    </xf>
    <xf numFmtId="0" fontId="44" fillId="0" borderId="1" xfId="5" applyFont="1" applyFill="1" applyBorder="1" applyAlignment="1">
      <alignment horizontal="center" vertical="center" wrapText="1"/>
    </xf>
    <xf numFmtId="0" fontId="44" fillId="0" borderId="6" xfId="5" applyFont="1" applyFill="1" applyBorder="1" applyAlignment="1">
      <alignment horizontal="center" vertical="center" wrapText="1"/>
    </xf>
    <xf numFmtId="0" fontId="14" fillId="0" borderId="16" xfId="5" applyFont="1" applyBorder="1" applyAlignment="1">
      <alignment vertical="center"/>
    </xf>
    <xf numFmtId="0" fontId="47" fillId="0" borderId="16" xfId="14" applyFont="1" applyBorder="1" applyAlignment="1">
      <alignment vertical="center"/>
    </xf>
    <xf numFmtId="1" fontId="18" fillId="0" borderId="28" xfId="5" applyNumberFormat="1" applyFont="1" applyBorder="1" applyAlignment="1">
      <alignment horizontal="center" vertical="center"/>
    </xf>
    <xf numFmtId="0" fontId="18" fillId="0" borderId="29" xfId="14" applyFont="1" applyBorder="1" applyAlignment="1">
      <alignment vertical="center"/>
    </xf>
    <xf numFmtId="0" fontId="18" fillId="0" borderId="21" xfId="14" applyFont="1" applyBorder="1" applyAlignment="1">
      <alignment vertical="center"/>
    </xf>
    <xf numFmtId="0" fontId="20" fillId="0" borderId="30" xfId="5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20" fillId="0" borderId="23" xfId="5" applyFont="1" applyBorder="1" applyAlignment="1">
      <alignment horizontal="left" vertical="center" wrapText="1"/>
    </xf>
    <xf numFmtId="0" fontId="20" fillId="0" borderId="9" xfId="5" applyFont="1" applyBorder="1" applyAlignment="1">
      <alignment horizontal="left" vertical="center" wrapText="1"/>
    </xf>
    <xf numFmtId="0" fontId="20" fillId="0" borderId="10" xfId="5" applyFont="1" applyBorder="1" applyAlignment="1">
      <alignment horizontal="left" vertical="center" wrapText="1"/>
    </xf>
    <xf numFmtId="0" fontId="14" fillId="0" borderId="41" xfId="5" applyFont="1" applyBorder="1" applyAlignment="1">
      <alignment vertical="center" wrapText="1"/>
    </xf>
    <xf numFmtId="0" fontId="47" fillId="0" borderId="45" xfId="14" applyBorder="1" applyAlignment="1">
      <alignment vertical="center" wrapText="1"/>
    </xf>
    <xf numFmtId="0" fontId="47" fillId="0" borderId="13" xfId="14" applyBorder="1" applyAlignment="1">
      <alignment vertical="center" wrapText="1"/>
    </xf>
    <xf numFmtId="0" fontId="45" fillId="0" borderId="42" xfId="5" applyFont="1" applyBorder="1" applyAlignment="1">
      <alignment horizontal="left" vertical="center" wrapText="1"/>
    </xf>
    <xf numFmtId="0" fontId="45" fillId="0" borderId="46" xfId="5" applyFont="1" applyBorder="1" applyAlignment="1">
      <alignment horizontal="left" vertical="center" wrapText="1"/>
    </xf>
    <xf numFmtId="0" fontId="45" fillId="0" borderId="19" xfId="5" applyFont="1" applyBorder="1" applyAlignment="1">
      <alignment horizontal="left" vertical="center" wrapText="1"/>
    </xf>
    <xf numFmtId="0" fontId="23" fillId="0" borderId="26" xfId="5" applyFont="1" applyBorder="1" applyAlignment="1">
      <alignment horizontal="left" vertical="center" wrapText="1"/>
    </xf>
    <xf numFmtId="0" fontId="23" fillId="0" borderId="27" xfId="5" applyFont="1" applyBorder="1" applyAlignment="1">
      <alignment horizontal="left" vertical="center" wrapText="1"/>
    </xf>
    <xf numFmtId="0" fontId="20" fillId="0" borderId="23" xfId="5" applyFont="1" applyBorder="1" applyAlignment="1">
      <alignment vertical="center"/>
    </xf>
    <xf numFmtId="0" fontId="21" fillId="0" borderId="9" xfId="14" applyFont="1" applyBorder="1" applyAlignment="1">
      <alignment vertical="center"/>
    </xf>
    <xf numFmtId="0" fontId="22" fillId="0" borderId="9" xfId="8" applyFont="1" applyBorder="1" applyAlignment="1">
      <alignment vertical="center"/>
    </xf>
    <xf numFmtId="0" fontId="20" fillId="0" borderId="2" xfId="5" applyFont="1" applyBorder="1" applyAlignment="1">
      <alignment vertical="center"/>
    </xf>
    <xf numFmtId="0" fontId="21" fillId="0" borderId="2" xfId="14" applyFont="1" applyBorder="1" applyAlignment="1">
      <alignment vertical="center"/>
    </xf>
    <xf numFmtId="0" fontId="14" fillId="0" borderId="33" xfId="5" applyFont="1" applyBorder="1" applyAlignment="1">
      <alignment vertical="center"/>
    </xf>
    <xf numFmtId="0" fontId="47" fillId="0" borderId="34" xfId="14" applyFont="1" applyBorder="1" applyAlignment="1">
      <alignment vertical="center"/>
    </xf>
    <xf numFmtId="0" fontId="47" fillId="0" borderId="15" xfId="14" applyFont="1" applyBorder="1" applyAlignment="1">
      <alignment vertical="center"/>
    </xf>
    <xf numFmtId="0" fontId="14" fillId="0" borderId="35" xfId="5" applyFont="1" applyBorder="1" applyAlignment="1">
      <alignment vertical="center"/>
    </xf>
    <xf numFmtId="0" fontId="47" fillId="0" borderId="36" xfId="14" applyBorder="1" applyAlignment="1">
      <alignment vertical="center"/>
    </xf>
    <xf numFmtId="0" fontId="47" fillId="0" borderId="17" xfId="14" applyBorder="1" applyAlignment="1">
      <alignment vertical="center"/>
    </xf>
    <xf numFmtId="0" fontId="14" fillId="0" borderId="33" xfId="5" applyFont="1" applyBorder="1" applyAlignment="1">
      <alignment vertical="center" wrapText="1"/>
    </xf>
    <xf numFmtId="0" fontId="14" fillId="0" borderId="35" xfId="5" applyFont="1" applyBorder="1" applyAlignment="1">
      <alignment vertical="center" wrapText="1"/>
    </xf>
    <xf numFmtId="0" fontId="47" fillId="0" borderId="36" xfId="14" applyFont="1" applyBorder="1" applyAlignment="1">
      <alignment vertical="center"/>
    </xf>
    <xf numFmtId="0" fontId="47" fillId="0" borderId="17" xfId="14" applyFont="1" applyBorder="1" applyAlignment="1">
      <alignment vertical="center"/>
    </xf>
    <xf numFmtId="0" fontId="13" fillId="0" borderId="12" xfId="5" applyFont="1" applyBorder="1" applyAlignment="1">
      <alignment vertical="center"/>
    </xf>
    <xf numFmtId="0" fontId="21" fillId="0" borderId="12" xfId="14" applyFont="1" applyBorder="1" applyAlignment="1">
      <alignment vertical="center"/>
    </xf>
    <xf numFmtId="0" fontId="14" fillId="0" borderId="26" xfId="5" applyFont="1" applyBorder="1" applyAlignment="1">
      <alignment vertical="center" wrapText="1"/>
    </xf>
    <xf numFmtId="0" fontId="12" fillId="0" borderId="27" xfId="8" applyFont="1" applyBorder="1" applyAlignment="1">
      <alignment vertical="center" wrapText="1"/>
    </xf>
    <xf numFmtId="0" fontId="12" fillId="0" borderId="7" xfId="8" applyFont="1" applyBorder="1" applyAlignment="1">
      <alignment vertical="center" wrapText="1"/>
    </xf>
    <xf numFmtId="0" fontId="23" fillId="0" borderId="23" xfId="5" applyFont="1" applyBorder="1" applyAlignment="1">
      <alignment vertical="center"/>
    </xf>
    <xf numFmtId="0" fontId="21" fillId="0" borderId="10" xfId="14" applyFont="1" applyBorder="1" applyAlignment="1">
      <alignment vertical="center"/>
    </xf>
    <xf numFmtId="0" fontId="23" fillId="0" borderId="9" xfId="5" applyFont="1" applyBorder="1" applyAlignment="1">
      <alignment vertical="center"/>
    </xf>
    <xf numFmtId="0" fontId="45" fillId="0" borderId="41" xfId="5" applyFont="1" applyBorder="1" applyAlignment="1">
      <alignment vertical="center"/>
    </xf>
    <xf numFmtId="0" fontId="12" fillId="0" borderId="45" xfId="14" applyFont="1" applyBorder="1" applyAlignment="1">
      <alignment vertical="center"/>
    </xf>
    <xf numFmtId="0" fontId="12" fillId="0" borderId="13" xfId="14" applyFont="1" applyBorder="1" applyAlignment="1">
      <alignment vertical="center"/>
    </xf>
    <xf numFmtId="0" fontId="45" fillId="0" borderId="42" xfId="5" applyFont="1" applyBorder="1" applyAlignment="1">
      <alignment vertical="center"/>
    </xf>
    <xf numFmtId="0" fontId="12" fillId="0" borderId="46" xfId="14" applyFont="1" applyBorder="1" applyAlignment="1">
      <alignment vertical="center"/>
    </xf>
    <xf numFmtId="0" fontId="12" fillId="0" borderId="19" xfId="14" applyFont="1" applyBorder="1" applyAlignment="1">
      <alignment vertical="center"/>
    </xf>
    <xf numFmtId="0" fontId="20" fillId="0" borderId="26" xfId="5" applyFont="1" applyBorder="1" applyAlignment="1">
      <alignment horizontal="center" vertical="center"/>
    </xf>
    <xf numFmtId="0" fontId="21" fillId="0" borderId="27" xfId="8" applyFont="1" applyBorder="1" applyAlignment="1">
      <alignment horizontal="center" vertical="center"/>
    </xf>
    <xf numFmtId="0" fontId="44" fillId="0" borderId="23" xfId="5" applyFont="1" applyBorder="1" applyAlignment="1">
      <alignment horizontal="left" vertical="center" wrapText="1"/>
    </xf>
    <xf numFmtId="0" fontId="44" fillId="0" borderId="9" xfId="5" applyFont="1" applyBorder="1" applyAlignment="1">
      <alignment horizontal="left" vertical="center" wrapText="1"/>
    </xf>
    <xf numFmtId="0" fontId="44" fillId="0" borderId="10" xfId="5" applyFont="1" applyBorder="1" applyAlignment="1">
      <alignment horizontal="left" vertical="center" wrapText="1"/>
    </xf>
    <xf numFmtId="0" fontId="47" fillId="0" borderId="34" xfId="14" applyBorder="1" applyAlignment="1">
      <alignment vertical="center"/>
    </xf>
    <xf numFmtId="0" fontId="47" fillId="0" borderId="15" xfId="14" applyBorder="1" applyAlignment="1">
      <alignment vertical="center"/>
    </xf>
    <xf numFmtId="0" fontId="14" fillId="0" borderId="26" xfId="5" applyFont="1" applyBorder="1" applyAlignment="1">
      <alignment vertical="center"/>
    </xf>
    <xf numFmtId="0" fontId="47" fillId="0" borderId="27" xfId="14" applyBorder="1" applyAlignment="1">
      <alignment vertical="center"/>
    </xf>
    <xf numFmtId="0" fontId="47" fillId="0" borderId="7" xfId="14" applyBorder="1" applyAlignment="1">
      <alignment vertical="center"/>
    </xf>
    <xf numFmtId="0" fontId="14" fillId="0" borderId="38" xfId="5" quotePrefix="1" applyFont="1" applyBorder="1" applyAlignment="1">
      <alignment vertical="center"/>
    </xf>
    <xf numFmtId="0" fontId="47" fillId="0" borderId="37" xfId="14" applyBorder="1" applyAlignment="1">
      <alignment vertical="center"/>
    </xf>
    <xf numFmtId="0" fontId="47" fillId="0" borderId="47" xfId="14" applyBorder="1" applyAlignment="1">
      <alignment vertical="center"/>
    </xf>
    <xf numFmtId="0" fontId="14" fillId="0" borderId="41" xfId="5" applyFont="1" applyBorder="1" applyAlignment="1">
      <alignment horizontal="left" vertical="center"/>
    </xf>
    <xf numFmtId="0" fontId="14" fillId="0" borderId="45" xfId="5" applyFont="1" applyBorder="1" applyAlignment="1">
      <alignment horizontal="left" vertical="center"/>
    </xf>
    <xf numFmtId="0" fontId="14" fillId="0" borderId="13" xfId="5" applyFont="1" applyBorder="1" applyAlignment="1">
      <alignment horizontal="left" vertical="center"/>
    </xf>
    <xf numFmtId="0" fontId="14" fillId="0" borderId="42" xfId="5" quotePrefix="1" applyFont="1" applyBorder="1" applyAlignment="1">
      <alignment vertical="center"/>
    </xf>
    <xf numFmtId="0" fontId="47" fillId="0" borderId="46" xfId="14" applyBorder="1" applyAlignment="1">
      <alignment vertical="center"/>
    </xf>
    <xf numFmtId="0" fontId="47" fillId="0" borderId="19" xfId="14" applyBorder="1" applyAlignment="1">
      <alignment vertical="center"/>
    </xf>
    <xf numFmtId="0" fontId="46" fillId="0" borderId="23" xfId="5" applyFont="1" applyBorder="1" applyAlignment="1">
      <alignment vertical="center"/>
    </xf>
    <xf numFmtId="0" fontId="47" fillId="0" borderId="9" xfId="14" applyBorder="1" applyAlignment="1">
      <alignment vertical="center"/>
    </xf>
    <xf numFmtId="0" fontId="47" fillId="0" borderId="10" xfId="14" applyBorder="1" applyAlignment="1">
      <alignment vertical="center"/>
    </xf>
    <xf numFmtId="0" fontId="44" fillId="0" borderId="41" xfId="5" applyFont="1" applyBorder="1" applyAlignment="1">
      <alignment vertical="center"/>
    </xf>
    <xf numFmtId="0" fontId="47" fillId="0" borderId="45" xfId="14" applyBorder="1" applyAlignment="1">
      <alignment vertical="center"/>
    </xf>
    <xf numFmtId="0" fontId="47" fillId="0" borderId="13" xfId="14" applyBorder="1" applyAlignment="1">
      <alignment vertical="center"/>
    </xf>
    <xf numFmtId="0" fontId="44" fillId="0" borderId="35" xfId="5" applyFont="1" applyBorder="1" applyAlignment="1">
      <alignment vertical="center"/>
    </xf>
    <xf numFmtId="0" fontId="54" fillId="3" borderId="1" xfId="9" applyFont="1" applyFill="1" applyBorder="1" applyAlignment="1">
      <alignment vertical="center"/>
    </xf>
    <xf numFmtId="0" fontId="39" fillId="0" borderId="14" xfId="1" applyFont="1" applyBorder="1" applyAlignment="1">
      <alignment vertical="center"/>
    </xf>
  </cellXfs>
  <cellStyles count="17">
    <cellStyle name="Bilješka 2" xfId="2"/>
    <cellStyle name="Bilješka 3" xfId="3"/>
    <cellStyle name="Comma 2" xfId="4"/>
    <cellStyle name="Normal_ANAL06-zGrad" xfId="5"/>
    <cellStyle name="Normal_izvještaj" xfId="6"/>
    <cellStyle name="Normal_Račun DiG" xfId="7"/>
    <cellStyle name="Normalno" xfId="0" builtinId="0"/>
    <cellStyle name="Normalno 2" xfId="1"/>
    <cellStyle name="Normalno 2 2" xfId="13"/>
    <cellStyle name="Normalno 2 3" xfId="14"/>
    <cellStyle name="Normalno 3" xfId="8"/>
    <cellStyle name="Normalno 4" xfId="16"/>
    <cellStyle name="Obično_Svi'0610" xfId="9"/>
    <cellStyle name="Zarez 2" xfId="10"/>
    <cellStyle name="Zarez 3" xfId="11"/>
    <cellStyle name="Zarez 4" xfId="12"/>
    <cellStyle name="Zarez 4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1381125</xdr:colOff>
      <xdr:row>2</xdr:row>
      <xdr:rowOff>123825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1228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55</xdr:row>
      <xdr:rowOff>66675</xdr:rowOff>
    </xdr:from>
    <xdr:to>
      <xdr:col>0</xdr:col>
      <xdr:colOff>1400175</xdr:colOff>
      <xdr:row>57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639300"/>
          <a:ext cx="1238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63501</xdr:colOff>
      <xdr:row>0</xdr:row>
      <xdr:rowOff>63500</xdr:rowOff>
    </xdr:from>
    <xdr:ext cx="5270499" cy="59854975"/>
    <xdr:sp macro="" textlink="">
      <xdr:nvSpPr>
        <xdr:cNvPr id="3" name="TekstniOkvir 2"/>
        <xdr:cNvSpPr txBox="1"/>
      </xdr:nvSpPr>
      <xdr:spPr>
        <a:xfrm>
          <a:off x="63501" y="63500"/>
          <a:ext cx="5270499" cy="59854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GODIŠNJI IZVJEŠTAJ POSLOVODSTVA ZA 2024. GODINU      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Osvrt na  rezultat poslovanja u 2024.godini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Godišnji izvještaj o stanju Društva Vodoopskrba i odvodnja Zaprešić d.o.o. (VIO ZAPREŠIĆ d.o.o.) pokazuje nam da je Društvo  2024. godinu  završilo sa pozitivnim rezultatom  odnosno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dobiti 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prije oporezivanja u iznosu od 107.137 eura.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Društvo je ostvarilo dobit iz poslovne i financijske aktivnosti.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Pozitivan rezultat poslovanja VIO ZAPREŠIĆA je rezultat porasta prihoda od obavljanja  djelatnosti uz istovremeno smanjenje pojedinih pozicija poslovnih rashoda (prvenstveno troškova materijala za popravak i održavanje vodno komunalne infrastrukture) u odnosu na prethodnu 2023. godinu. Nastavak primjene 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Uredbe Vlade Republike Hrvatske o otklanjanju poremećaja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 domaćem tržištu energije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koja je u primjeni od 01. listopada 2022., a nastavila se  primjenjivati i u 2024. godini, kojom se  subvencioniraju troškovi električne energije, olakšala je poslovanje Društva tijekom 2024 godine.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prihodi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2024 godini iznose 8.318.872 eura, ostvareni su sa porastom od 2% u odnosu na 2023., te  12% u odnosu na planirane ukupne prihode.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Strukturu prihoda sačinjavaju poslovni i financijski prihodi,  iz kojih je vidljivo da su poslovni prihodi ostvareni  sa porastom od 1% u odnosu na 2023., a financijski prihodi osjetno rastu u odnosu na 2023.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Poslovne prihode čine  prihodi  iz cijene vodnih usluga, prihodi od usluga i  ostali poslovni prihodi.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strukturi prihoda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prihodi ostvareni iz cijene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vodoopskrbe, odvodnje i pročišćavanja iznose 4.804.828 eura, te bilježe rast od 23% u odnosu na prethodno razdoblje. Prihodi  ostvareni iz cijene vodnih usluga proizašli su iz povećanih količina prodane vode, odvodnje i pročišćavanja u 2024.,  porasta broja korisnika, tarife vodnih usluga u primjeni od 01.02.2024. godine po m³ isporučene vode korisnicima  u stambenim i poslovnim prostorima. Navedeni prihodi čine udio od 61,5 % prihoda od obavljanja djelatnosti.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ostvareni su u iznosu od 3.001.716 eura i čine 38,5% udjela, a čine ih prihodi od građenja vodovodnih i kanalskih priključaka, ostalih  raznih usluga u vodoopskrbi i odvodnji, prihodi od tuđeg financiranja za pokriće troška obračunate amortizacije, prihodi od naplate šteta od osiguravajućeg društva.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Ostali poslovni prihodi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 u 2024. godini ostvareni u iznosu od 405.799 eura, a odnose se najvećim dijelom na prihode od naplaćenih potraživanja iz prethodnih razdoblja i naplaćenih troškova ovrha, prihode od usluga obračuna naknada, te na ostale poslovne prihode.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Financijski prihod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obuhvaćaju prihode od redovnih kamata na zakašnjela plaćanja i  prihode od naplaćenih kamata po ovrhama, te prihode od kamata na prekonoćno oročavanje nenamjenskih depozita.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rashodi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2024. godini iznose 8.211.735 eura, pokazuju  porast od  1 % u odnosu na 2023., te 11% u odnosu na planirane rashode.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Pojedine pozicije rashoda bilježe porast rashoda tijekom 2024. po osnovi: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rasta troškova usluga vanjskih kooperanata  za usluge tekućeg  održavanja sustava vodoopskrbe i odvodnje, porasta troškova vanjske usluge ispitivanja zdravstvene ispravnosti pitke vode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rasta troškova zaposlenih po osnovi povećanja bruto plaća  i ostalih materijalnih prava iz radnog odnosa tijekom 2024.,te povećanja broja zaposlenih osoba tijekom 2024.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rasta  ukalkuliranih troškova rezerviranja za neiskorištene godišnje odmore.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Financijski rashodi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2024. godini iznose 79.351 euro  i manji su za 6% od financijskih rashoda u 2023.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Smanjenje financijskih rashoda u 2024. godini rezultat je smanjenja kamatne stope po postojećim kreditima od 2021. u nekoliko navrata, te redovite otplate dugoročnih kredita. Iz navedenog proizlazi manji trošak kamata u 2024. godini u odnosu na 2023. za 5 tisuća eura.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Zaključno 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rezultat poslovanja društva Vodoopskrba i odvodnja Zaprešić d.o.o.  je za 2024. godinu pozitivan  i iznosi 107.137 eura prije oporezivanja. 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Cijena vodnih usluga 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Cijena vodnih usluga u primjeni, po Odluci Skupštine Društva krajem 2023. Godine, propisana je Uredbom iz 2010. godine koja uređuje najnižu osnovnu cijenu vodnih usluga i troškove koje cijena vodnih usluga pokriva. Odlukom Skupštine Društva, a nakon provedenog javnog savjetovanja, povećan je  varijabilni dio cijene  vodoopskrbe u  primjeni od 01.02.2024. godine. Tarifa vodnih usluga iznosi  0,63577 eura po  m³ isporučene vode korisnicima  u stambenim prostorima,  te 1,14144 eura po m</a:t>
          </a:r>
          <a:r>
            <a:rPr lang="hr-HR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isporučene vode korisnicima u poslovnim prostorima.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Društvo je tijekom 2024. napravilo prilagodbu praćenja pojedinih vrsta  troškova  prema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Uredbi o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metodologiji za određivanje cijene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u primjeni od 01.01.2024., te je  provelo uskladu cijena vodnih usluga s novom metodologijom iz važeće  Uredbe. Članak 46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Uredbe o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metodologiji za određivanje cijene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propisuje izjednačavanje tarifa na uslužnom području, te je Društvo u 12/2024. godine Vijeću za vodne usluge poslalo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Akcijski plan izjednačavanja tarifa na uslužnom području 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koji namjerava provesti tijekom 2025. godine.</a:t>
          </a:r>
        </a:p>
        <a:p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Ukupno ostvareni  prihodi u 2024. od cijene vodnih usluga vodoopskrbe, odvodnje i pročišćavanja iznose 7.806.544 eura sa povećanjem od 3% u odnosu na 2023.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Ukupno ostvareni rashodi  u 2024.  iznose 8.211.735  eura sa povećanjem 1% u odnosu na 2023.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Ukupna količina prodane odnosno isporučene vode pokazuje  porast prodaje od 19% u odnosu na 2023. godinu. Količina isporučene vode korisnicima u stambenim  i poslovnim prostorima pokazuje porast isporučenih količina za 5% u odnosu na 2023., dok je prodaja vode drugom javnom isporučitelju Zagorski vodovod d.o.o. na mjernom mjestu Veliki Vrh porasla za 47% u odnosu na 2023. godinu.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Broj korisnika  u vodoopskrbi  u 2024. je u porastu u odnosu na 2023. za 3% (za 580 korisnika). 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Količine odvedene i pročišćene otpadne vode  od  korisnika  prema potrošnji vode porasli su za 25% u odnosu na 2023. što je posljedica priključenja novih korisnika na sustav odvodnje i pročišćavanja.  Ostvarene količine odvedene i pročišćene vode prema mjernom instrumentu su 2024.  u porastu u odnosu na prethodno razdoblje za 15%.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Broj korisnika odvodnje i pročišćavanja u 2024. je u porastu u odnosu na 2023. za 34%  (za 3.373 korisnika) što je posljedica priključenja novih korisnika na sustav odvodnje i pročišćavanja.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ostalim uslugama u odvodnji zabilježen je porast broja čišćenja sabirnih jama u I. i  II. zoni.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Gubici vode u sustavu su smanjeni  za 6% u odnosu na gubitke u 2023.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 rashodi  proizašli iz cijene vodnih usluga veći su za 1% u odnosu na 2023. godinu. Indeks povećanja zabilježen je na svim pozicijama  materijalnih troškova, najviše na poziciji troškova materijala, energije i  troškova vanjskih usluga  utrošenih  za održavanje sustava, na  troškovima osoblja i internih rashoda.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Ostvareni rezultat poslovanja 2024. godine  za RJ Vodoopskrba, Odvodnja i pročišćavanje, a koji proizlazi iz cijene vodne usluge je  pozitivan (DOBIT) u iznosu od 113.496 eura.  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Dugi niz godina između društava VIO ZAPREŠIĆ d.o.o. i Zagorski vodovod d.o.o. vodi se niz sudskih sporova, između ostalog i za cijenu vode na mjernom mjestu Veliki Vrh.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Prema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Odluci o cijeni vode 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društvo Zagorski vodovod d.o.o. od 08.07.2016. godine, osnovna cijena isporučene vode na mjernom mjestu Veliki Vrh iznosi 1,17 kuna ( 0,15529 eura) po m³ vode.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Prema presudi iz  2021. godine u ožujku 2024.  je naplaćen dug od društva Zagorski vodovod d.o.o. Zabok.  Ukupno je naplaćeno 101.350 eura sa pripadajućim zateznim kamatama i troškovima postupka.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strane društva Zagorski vodovod  d.o.o. podnesen je prijedlog za dopuštenje revizije.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Obzirom da sudski sporovi kontinuirano kumuliraju troškove obim stranama, pokušalo se  već tijekom 2021. godine pronaći zajedničko, i za oba Društva, prihvatljivo rješenje odnosno odrediti nova polazišna točka daljnjeg poslovanja.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Unatoč pojačanim naporima i željom za rješavanje sporova mirnim putem, do konačnog rješenja  u periodu 2021.-2024. godine, a ni do dana pisanja ovog Izvještaja,  nije došlo.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Zaposleni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Broj zaposlenih osoba  u Društvu  se tijekom 2024. povećao za 10 novozaposlenih  osoba  u odnosu na 2023. Razlozi za povećanje broja zaposlenih su ispunjavanje uvjeta iz U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redbe o posebnim uvjetima za obavljanje djelatnosti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koja propisuje posebne uvjete za početak poslovanja i posebne uvjete za učinkovito poslovanje  isporučitelja vodnih usluga  kako bi stekao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status jedinstvenog javnog isporučitelja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po kojoj Društvo treba imati ključne zaposlenike sa određenim kvalifikacijama na određenim radnim mjestima.  Novoizgrađena kanalizacijska mreža, te pokretanje II. i III. faze pročišćavanja zahtijeva povećanje broja zaposlenih osoba.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dan 31.12.2024. godine Društvo ima 75 zaposlenih radnika.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Prosječna  mjesečna bruto plaća u Vodoopskrbi i odvodnji Zaprešić  d.o.o. u 2024. godini iznosila je 1.795 eura, istovremeno je  prosječna mjesečna bruto plaća na razini Republike Hrvatske  iznosila 1.821 euro.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Prosječna mjesečna neto plaća isplaćena u društvu Vodoopskrba i odvodnja Zaprešić d.o.o. u 2024. godini je iznosila  1.298 eura. Prosječna mjesečna neto plaća isplaćena na razini Republike Hrvatske u 2024. godini iznosila je 1.318 eura.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Povjerenstvo  za zaštitu potrošača - reklamacije potrošača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Povjerenstvo za reklamacije potrošača je tijekom 2024. godine, uz  prisutnost  radnika  Društva  i  nezavisnog  predstavnika Povjerenstva  za  zaštitu  potrošača,  razmatralo 11 reklamacija. Povjerenstvo je zaključilo da je 10 reklamacija neopravdano, a 1 u potpunosti opravdana.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Potrošači se o svojim pravima koja proizlaze iz Zakona o zaštiti potrošača upoznaju i putem prvostupanjskih odgovora, kao i putem kontinuirane društvene edukacije.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Pokazatelji uspješnosti poslovanja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Koeficijent tekuće likvidnosti  je smanjen u 2024. godini  u odnosu na 2023. godinu (sa 1,78 na 1,42), te pokazuje povećanje kratkotrajne imovine kao  i kratkoročnih obveza u odnosu na 2023.godinu, pri čemu su više rasle obveze.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Koeficijent zaduženosti u 2024. godini na razini je 2023. godine, iznosi 0,08 te pokazuje porast imovine, uz veći porast obveza u odnosu na prethodnu godinu.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Koeficijent ekonomičnosti ukupnog poslovanja u 2024. iznosi 1,01, na razni je prethodne godine, a pokazuje da su prihodi u 2024.  rasli više od rashoda. </a:t>
          </a:r>
        </a:p>
        <a:p>
          <a:r>
            <a:rPr lang="hr-HR" sz="11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Usklađivanje sa zakonskim propisima u području zaštite okoliša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Tvrtka Vodoopskrba  i odvodnja  Zaprešić  d.o.o., redovito vrši usklađivanje sa zakonskim propisima na području zaštite okoliša.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Vodopravna dozvola za korištenje voda iz izvorišta Šibice, klasa: UP/ I-325-03/21-02/0000316,  Ur.broj: 374-25-2-22-2, izdana je 05.01.2022. godine i vrijedi do 05.01.2029. godine.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siječnju 2021. godina zaprimljena je Vodopravna dozvola za ispuštanje otpadnih voda, klasa UP/I -325 -04/18-05/0000337, Ur.broj: 374-25-3-21-6.  koja je izdana u skladu sa graničnim vrijednostima ili postizanjem najmanjeg postotka smanjenja opterećenja za III. stupanj pročišćavanja i koja u monitoringu emisija otpadnih voda u vodopravnoj dozvoli definira ispitivanja na parametre makrolidnih antibiotika u otpadnoj vodi, a koja ispitivanja nisu obveza sukladno Pravilniku o graničnim vrijednostima emisija u otpadnim vodama.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Vodoopskrba i odvodnja Zaprešić d.o.o. početkom veljače 2021. godine podnijela je žalbu protiv dijela Vodopravne dozvole te do dana pisanja ovog izvještaja nije zaprimljeno nikakvo rješenje.</a:t>
          </a:r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Zakon o vodi za ljudsku potrošnju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(NN 30/2023) u članku 25. propisuje da su svi isporučitelji vode obvezni izraditi i provoditi sustav samokontrole utemeljen na procjeni rizika i upravljanja rizikom za sustav svoje opskrbe, a koji se provodi uspostavom Plana sigurnosti vode namijenjene za ljudsku potrošnju, stoga je Društvo tokom 2024. postupalo udovoljavanju svih propisa te izradilo Plan sigurnosti vode, a u trenutku pisanja ovog izvještaja čeka se rješenje Ministarstva kojim će Plan sigurnosti vode biti odobren.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Statutarne promjene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2024. godini statutarnih promjena nije bilo.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Značajni poslovni događaji nakon kraja poslovne godine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datuma bilance pa do datuma sastavljanja ovih financijskih izvještaja, poslovanje društva je stabilno. 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Plan razvoja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Osnovnu odrednicu razvoja Vodoopskrbe i odvodnje Zaprešić d.o.o. predstavlja kontinuitet restrukturiranja organizacijskih, tehničkih i ljudskih potencijala s ciljem proširenja usluga javne vodoopskrbe i odvodnje na cijelom distributivnom području, poboljšanja efikasnosti i rezultata poslovanja kroz ulaganja u vodno - komunalnu infrastrukturu, sukladno planovima i projektima jedinica lokalne samouprave.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„Projekt poboljšanja vodno - komunalne infrastrukture aglomeracije Zaprešić“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Vodoopskrba i odvodnja Zaprešić d.o.o. je u sklopu operativnog programa Konkurentnost i kohezija 2014. - 2020. godine nominirala projekt 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„Projekt poboljšanja vodno - komunalne infrastrukture aglomeracije Zaprešić“.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Projektom je obuhvaćena dogradnja sustava odvodnje i vodoopskrbe, dogradnja druge i treće faze uređaja za pročišćavanje otpadnih voda kao i zahvati na poboljšanju postojećih sustava.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tijeku pisanja izvještaja radovi  na izgradnji sustava vodoopskrbe i odvodnje u sklopu projekta „Projekt poboljšanja vodno – komunalne infrastrukture aglomeracije Zaprešić“, a koji se odnose na radove na terenu završeni su u potpunosti te su ishođene sve uporabne dozvole. Izvođač radova na sustavu odvodnje otpadnih voda aglomeracije Kraj Donji ispostavio je Okončanu situaciju, dok izvođač na Aktivnosti 1 „Izgradnja i sanacija sustava odvodnje i vodoopskrbe na području aglomeracije Zaprešić istu treba dostaviti u narednom periodu.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        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Radovi na uređaju za pročišćavanje otpadnih voda su i dalje u zakašnjenju kojeg je uzrokovala problematika sa pregradnim zidom na biološkom bazenu, te je sanacija istoga uvelike prolongirala početak pokusnog rada. Preduvjet za pokretanje službenog  pokusnog rada je postizanje određenih parametara i zadovoljavanje suhih i mokrih proba prilikom čega je došlo do oštećenja dijela strojarske opreme u biološkom bazenu što je opet uzrokovalo kašnjenje. Usprkos navedenoj problematici izvođač otklanja nastale probleme, te se u ovom trenutno vrši nastavak  testova po dovršetku, te se prikupljaju parametri temeljem kojih uskoro očekujemo početak službenog pokusnog rada.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Redovna izmjena vodomjera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Nakon  okončanog postupka javne nabave, u 2021. godini započela je redovna izmjena vodomjera koja se obavlja sukladno Zakonu o mjeriteljstvu i pripadajućim propisima. Izmjena  vodomjera provodi se treću godinu zaredom i  trajati će u kontinuitetu 5 godina, provodi se prema planu izmjene, a vrijednost tog zahvata iznosi otprilike 1.990.842 eura (15 milijuna kuna).  Do kraja 2024. godine ukupno je zamijenjeno vodomjera u vrijednosti 1.019.645 eura.  Isporučitelj  vodnih  usluga je  dužan o svom trošku  izvršiti zamjenu vodomjera koje očitava, sukladno Zakonu i propisima.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Izgradnja priključaka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2024. godini izgradilo se  manje  vodovodnih priključaka  (za 10%)  i  više kanalskih priključaka (za 19%) u odnosu na broj izgrađenih vodovodnih i kanalskih priključaka u 2023.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Izgradnja laboratorija za kontrolu kvalitete vode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Sukladno Zakonu o vodi za ljudsku potrošnju (NN 30/2023) Društvo je u 2024. godini pristupilo rekonstrukciji i opremanju internog laboratorija za ispitivanje vode namijenjene za ljudsku potrošnju, te udovoljavanju svih propisanih parametara.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Vrijednost investicije iznosi 316.000 eura. U tijeku pisanja ovog izvještaja završeni su svi građevinski radovi laboratorija za analizu vode za ljudsku potrošnju u sklopu vodocrpilišta Šibice, te je nabavljena sva potrebna oprema. Čeka se dovršetak nasipa oko objekta. Potrebno je još odraditi edukacije djelatnika, čije je zaposlenje u postupku i potom veći dio laboratorijske opreme pustiti u rad. Stoga očekujemo da će laboratorij početi s prvim analizama u lipnju 2025. godine. U početnom periodu očekuje se da će se analize vršiti naizmjenično sa Zavodom za javno zdravstvo Zagrebačke županije, a po primitku ovlaštenja od Ministarstva analize ćemo vršiti samostalno. U svrhu ishođenja ovlaštenja potrebno je provesti međulaboratorijske usporedbe rezultata analiza što je dug proces jer ovisi o ciklusima provođenja istih od strane međunarodno akreditiranih ustanova za ovakve procese.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Nabava opreme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Društvo kontinuirano ulaže u obnovu vozno – strojnog parka te je u 2024. godini nabavljeno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teretno vozilo – kamion i catepilar rovokopač u RJ Vodoopskrba,  Peugeot boxer u RJ Odvodnja, osobni automobil u odjelu kontrole kvalitete vode, te priključna i sitna mehanizacija.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Zakonske promjene 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U lipnju 2023. godine Vlada Republike Hrvatske donijela je tri nove uredbe kojima će se VIO ZAPREŠIĆ d.o.o., kao i ostali isporučitelji vodnih usluga morati prilagoditi u nadolazećoj poslovnoj godini.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Uredba o posebnim uvjetima za obavljanje djelatnosti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propisuje posebne uvjete za početak poslovanja i posebne uvjete za učinkovito poslovanje koje mora ispunjavati javni isporučitelj vodnih usluga za obavljanje djelatnosti javne vodoopskrbe i javne odvodnje  kako bi stekao status jedinstvenog javnog isporučitelja.</a:t>
          </a:r>
        </a:p>
        <a:p>
          <a:r>
            <a:rPr lang="hr-HR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studenom 2024. godine Društvu Vodoopskrba i odvodnja Zaprešić d.o.o. izdano je Rješenje po kojem ispunjava  posebne uvjete za početak poslovanja jedinstvenog javnog isporučitelja.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Uredba o vrednovanju učinkovitosti poslovanja isporučitelja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propisuje ključne pokazatelje i mjerila učinkovitosti poslovanja, provedbe obveza i načina prikupljanja i dostave podataka za izračun ključnih pokazatelja, te načine mjerenja, vrednovanja i izvještavanja o učinkovitosti poslovanja. Ova Uredba propisuje da će se podaci dostavljati Vijeću za vodne usluge na obrascima ovisno je li isporučitelj jedinstven javni isporučitelj ili postojeći javni isporučitelj na uslužnom području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hr-HR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Društvo će postupiti po obavijesti Vijeća za vodne usluge.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Uredba o metodologiji za određivanje cijene vodnih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propisuje se s ciljem ograničenja regulatorno dopuštenog prihoda isporučitelja kroz ograničenja pojedinih ključnih izdataka poslovanja, te povećanja učinkovitosti poslovanja isporučitelja vodnih usluga. Ova uredba u primjeni je od 01.01.2024. godine. Između ostalog, uredba propisuje vrste troškova koji se naknađuju iz cijene vodnih usluga . </a:t>
          </a:r>
        </a:p>
        <a:p>
          <a:r>
            <a:rPr lang="hr-HR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Društvo je  tijekom 2024. godine uskladilo cijenu vodnih usluga s novom metodologijom iz Uredbe o metodologiji za određivanje cijene vodnih usluga.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Zakon o vodi za ljudsku potrošnju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(NN 30/2023) člankom 33. obvezuje isporučitelje vode da svakom pojedinom potrošaču najmanje jednom godišnje dostavi propisane informacije koje se odnose na kontrolu, potrošnju i opskrbu vodom. Društvo je udovoljilo navedenim propisima. </a:t>
          </a:r>
        </a:p>
        <a:p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Izloženost rizicima 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Rizici  kojima će Društvo biti i nadalje izloženo  u  2025.  godini  odnose  se  na  izloženosti cjenovnom  riziku radi rasta cijena energenata, cijeni građevinskog materijala i usluga, kao i cijene rada na tržištu. Društvo je izloženo kreditnom riziku kroz naplatu potraživanja od kupaca kada su isti u financijskim poteškoćama. Rizik likvidnosti Društva ogleda se u nedostatku novčanih sredstava za podmirenje dospjelih obveza uslijed povećanih nepredviđenih troškova poslovanja, pada količine prodanih usluga, kašnjenja u naplati potraživanja od kupaca, ali i krize likvidnosti gospodarstva države općenito.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Upravljanje ovim rizicima Društvo će provoditi kroz:</a:t>
          </a:r>
        </a:p>
        <a:p>
          <a:pPr lvl="0"/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stalne analize i upravljanje novčanim tokovima,  </a:t>
          </a:r>
        </a:p>
        <a:p>
          <a:pPr lvl="0"/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praćenje naplate potraživanja i poduzimanja mjera pravovremene naplate,</a:t>
          </a:r>
        </a:p>
        <a:p>
          <a:pPr lvl="0"/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praćenje prioriteta plana  tekućeg i investicijskog održavanja,</a:t>
          </a:r>
        </a:p>
        <a:p>
          <a:pPr lvl="0"/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pojačanu kontrolu trošenja sredstava predviđenih planom poslovanja.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ovom trenutku ne može se predvidjeti daljnji razvoj financijske situacije u kojem će se Društvo zateći, obzirom na kontinuirani i nepredvidivi rast cijena materijala i usluga na tržištu tijekom 2025. godine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Privitak: Financijski izvještaji za 2024. godinu	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Zaprešić,  08.05.2025. godine</a:t>
          </a: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Direktor Društva: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Domagoj Mikuš, mag.ing.aedif.</a:t>
          </a:r>
        </a:p>
        <a:p>
          <a:endParaRPr lang="hr-H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1057275</xdr:colOff>
      <xdr:row>0</xdr:row>
      <xdr:rowOff>0</xdr:rowOff>
    </xdr:to>
    <xdr:pic>
      <xdr:nvPicPr>
        <xdr:cNvPr id="2" name="Picture 1" descr="zapresic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view="pageBreakPreview" topLeftCell="A45" zoomScale="115" zoomScaleNormal="100" zoomScaleSheetLayoutView="115" workbookViewId="0">
      <selection activeCell="L57" sqref="L57"/>
    </sheetView>
  </sheetViews>
  <sheetFormatPr defaultRowHeight="12.75"/>
  <cols>
    <col min="1" max="1" width="22.140625" style="1" customWidth="1"/>
    <col min="2" max="2" width="44.5703125" style="1" customWidth="1"/>
    <col min="3" max="3" width="22.140625" style="1" customWidth="1"/>
    <col min="4" max="256" width="9.140625" style="1"/>
    <col min="257" max="257" width="22.140625" style="1" customWidth="1"/>
    <col min="258" max="258" width="44.5703125" style="1" customWidth="1"/>
    <col min="259" max="259" width="22.140625" style="1" customWidth="1"/>
    <col min="260" max="512" width="9.140625" style="1"/>
    <col min="513" max="513" width="22.140625" style="1" customWidth="1"/>
    <col min="514" max="514" width="44.5703125" style="1" customWidth="1"/>
    <col min="515" max="515" width="22.140625" style="1" customWidth="1"/>
    <col min="516" max="768" width="9.140625" style="1"/>
    <col min="769" max="769" width="22.140625" style="1" customWidth="1"/>
    <col min="770" max="770" width="44.5703125" style="1" customWidth="1"/>
    <col min="771" max="771" width="22.140625" style="1" customWidth="1"/>
    <col min="772" max="1024" width="9.140625" style="1"/>
    <col min="1025" max="1025" width="22.140625" style="1" customWidth="1"/>
    <col min="1026" max="1026" width="44.5703125" style="1" customWidth="1"/>
    <col min="1027" max="1027" width="22.140625" style="1" customWidth="1"/>
    <col min="1028" max="1280" width="9.140625" style="1"/>
    <col min="1281" max="1281" width="22.140625" style="1" customWidth="1"/>
    <col min="1282" max="1282" width="44.5703125" style="1" customWidth="1"/>
    <col min="1283" max="1283" width="22.140625" style="1" customWidth="1"/>
    <col min="1284" max="1536" width="9.140625" style="1"/>
    <col min="1537" max="1537" width="22.140625" style="1" customWidth="1"/>
    <col min="1538" max="1538" width="44.5703125" style="1" customWidth="1"/>
    <col min="1539" max="1539" width="22.140625" style="1" customWidth="1"/>
    <col min="1540" max="1792" width="9.140625" style="1"/>
    <col min="1793" max="1793" width="22.140625" style="1" customWidth="1"/>
    <col min="1794" max="1794" width="44.5703125" style="1" customWidth="1"/>
    <col min="1795" max="1795" width="22.140625" style="1" customWidth="1"/>
    <col min="1796" max="2048" width="9.140625" style="1"/>
    <col min="2049" max="2049" width="22.140625" style="1" customWidth="1"/>
    <col min="2050" max="2050" width="44.5703125" style="1" customWidth="1"/>
    <col min="2051" max="2051" width="22.140625" style="1" customWidth="1"/>
    <col min="2052" max="2304" width="9.140625" style="1"/>
    <col min="2305" max="2305" width="22.140625" style="1" customWidth="1"/>
    <col min="2306" max="2306" width="44.5703125" style="1" customWidth="1"/>
    <col min="2307" max="2307" width="22.140625" style="1" customWidth="1"/>
    <col min="2308" max="2560" width="9.140625" style="1"/>
    <col min="2561" max="2561" width="22.140625" style="1" customWidth="1"/>
    <col min="2562" max="2562" width="44.5703125" style="1" customWidth="1"/>
    <col min="2563" max="2563" width="22.140625" style="1" customWidth="1"/>
    <col min="2564" max="2816" width="9.140625" style="1"/>
    <col min="2817" max="2817" width="22.140625" style="1" customWidth="1"/>
    <col min="2818" max="2818" width="44.5703125" style="1" customWidth="1"/>
    <col min="2819" max="2819" width="22.140625" style="1" customWidth="1"/>
    <col min="2820" max="3072" width="9.140625" style="1"/>
    <col min="3073" max="3073" width="22.140625" style="1" customWidth="1"/>
    <col min="3074" max="3074" width="44.5703125" style="1" customWidth="1"/>
    <col min="3075" max="3075" width="22.140625" style="1" customWidth="1"/>
    <col min="3076" max="3328" width="9.140625" style="1"/>
    <col min="3329" max="3329" width="22.140625" style="1" customWidth="1"/>
    <col min="3330" max="3330" width="44.5703125" style="1" customWidth="1"/>
    <col min="3331" max="3331" width="22.140625" style="1" customWidth="1"/>
    <col min="3332" max="3584" width="9.140625" style="1"/>
    <col min="3585" max="3585" width="22.140625" style="1" customWidth="1"/>
    <col min="3586" max="3586" width="44.5703125" style="1" customWidth="1"/>
    <col min="3587" max="3587" width="22.140625" style="1" customWidth="1"/>
    <col min="3588" max="3840" width="9.140625" style="1"/>
    <col min="3841" max="3841" width="22.140625" style="1" customWidth="1"/>
    <col min="3842" max="3842" width="44.5703125" style="1" customWidth="1"/>
    <col min="3843" max="3843" width="22.140625" style="1" customWidth="1"/>
    <col min="3844" max="4096" width="9.140625" style="1"/>
    <col min="4097" max="4097" width="22.140625" style="1" customWidth="1"/>
    <col min="4098" max="4098" width="44.5703125" style="1" customWidth="1"/>
    <col min="4099" max="4099" width="22.140625" style="1" customWidth="1"/>
    <col min="4100" max="4352" width="9.140625" style="1"/>
    <col min="4353" max="4353" width="22.140625" style="1" customWidth="1"/>
    <col min="4354" max="4354" width="44.5703125" style="1" customWidth="1"/>
    <col min="4355" max="4355" width="22.140625" style="1" customWidth="1"/>
    <col min="4356" max="4608" width="9.140625" style="1"/>
    <col min="4609" max="4609" width="22.140625" style="1" customWidth="1"/>
    <col min="4610" max="4610" width="44.5703125" style="1" customWidth="1"/>
    <col min="4611" max="4611" width="22.140625" style="1" customWidth="1"/>
    <col min="4612" max="4864" width="9.140625" style="1"/>
    <col min="4865" max="4865" width="22.140625" style="1" customWidth="1"/>
    <col min="4866" max="4866" width="44.5703125" style="1" customWidth="1"/>
    <col min="4867" max="4867" width="22.140625" style="1" customWidth="1"/>
    <col min="4868" max="5120" width="9.140625" style="1"/>
    <col min="5121" max="5121" width="22.140625" style="1" customWidth="1"/>
    <col min="5122" max="5122" width="44.5703125" style="1" customWidth="1"/>
    <col min="5123" max="5123" width="22.140625" style="1" customWidth="1"/>
    <col min="5124" max="5376" width="9.140625" style="1"/>
    <col min="5377" max="5377" width="22.140625" style="1" customWidth="1"/>
    <col min="5378" max="5378" width="44.5703125" style="1" customWidth="1"/>
    <col min="5379" max="5379" width="22.140625" style="1" customWidth="1"/>
    <col min="5380" max="5632" width="9.140625" style="1"/>
    <col min="5633" max="5633" width="22.140625" style="1" customWidth="1"/>
    <col min="5634" max="5634" width="44.5703125" style="1" customWidth="1"/>
    <col min="5635" max="5635" width="22.140625" style="1" customWidth="1"/>
    <col min="5636" max="5888" width="9.140625" style="1"/>
    <col min="5889" max="5889" width="22.140625" style="1" customWidth="1"/>
    <col min="5890" max="5890" width="44.5703125" style="1" customWidth="1"/>
    <col min="5891" max="5891" width="22.140625" style="1" customWidth="1"/>
    <col min="5892" max="6144" width="9.140625" style="1"/>
    <col min="6145" max="6145" width="22.140625" style="1" customWidth="1"/>
    <col min="6146" max="6146" width="44.5703125" style="1" customWidth="1"/>
    <col min="6147" max="6147" width="22.140625" style="1" customWidth="1"/>
    <col min="6148" max="6400" width="9.140625" style="1"/>
    <col min="6401" max="6401" width="22.140625" style="1" customWidth="1"/>
    <col min="6402" max="6402" width="44.5703125" style="1" customWidth="1"/>
    <col min="6403" max="6403" width="22.140625" style="1" customWidth="1"/>
    <col min="6404" max="6656" width="9.140625" style="1"/>
    <col min="6657" max="6657" width="22.140625" style="1" customWidth="1"/>
    <col min="6658" max="6658" width="44.5703125" style="1" customWidth="1"/>
    <col min="6659" max="6659" width="22.140625" style="1" customWidth="1"/>
    <col min="6660" max="6912" width="9.140625" style="1"/>
    <col min="6913" max="6913" width="22.140625" style="1" customWidth="1"/>
    <col min="6914" max="6914" width="44.5703125" style="1" customWidth="1"/>
    <col min="6915" max="6915" width="22.140625" style="1" customWidth="1"/>
    <col min="6916" max="7168" width="9.140625" style="1"/>
    <col min="7169" max="7169" width="22.140625" style="1" customWidth="1"/>
    <col min="7170" max="7170" width="44.5703125" style="1" customWidth="1"/>
    <col min="7171" max="7171" width="22.140625" style="1" customWidth="1"/>
    <col min="7172" max="7424" width="9.140625" style="1"/>
    <col min="7425" max="7425" width="22.140625" style="1" customWidth="1"/>
    <col min="7426" max="7426" width="44.5703125" style="1" customWidth="1"/>
    <col min="7427" max="7427" width="22.140625" style="1" customWidth="1"/>
    <col min="7428" max="7680" width="9.140625" style="1"/>
    <col min="7681" max="7681" width="22.140625" style="1" customWidth="1"/>
    <col min="7682" max="7682" width="44.5703125" style="1" customWidth="1"/>
    <col min="7683" max="7683" width="22.140625" style="1" customWidth="1"/>
    <col min="7684" max="7936" width="9.140625" style="1"/>
    <col min="7937" max="7937" width="22.140625" style="1" customWidth="1"/>
    <col min="7938" max="7938" width="44.5703125" style="1" customWidth="1"/>
    <col min="7939" max="7939" width="22.140625" style="1" customWidth="1"/>
    <col min="7940" max="8192" width="9.140625" style="1"/>
    <col min="8193" max="8193" width="22.140625" style="1" customWidth="1"/>
    <col min="8194" max="8194" width="44.5703125" style="1" customWidth="1"/>
    <col min="8195" max="8195" width="22.140625" style="1" customWidth="1"/>
    <col min="8196" max="8448" width="9.140625" style="1"/>
    <col min="8449" max="8449" width="22.140625" style="1" customWidth="1"/>
    <col min="8450" max="8450" width="44.5703125" style="1" customWidth="1"/>
    <col min="8451" max="8451" width="22.140625" style="1" customWidth="1"/>
    <col min="8452" max="8704" width="9.140625" style="1"/>
    <col min="8705" max="8705" width="22.140625" style="1" customWidth="1"/>
    <col min="8706" max="8706" width="44.5703125" style="1" customWidth="1"/>
    <col min="8707" max="8707" width="22.140625" style="1" customWidth="1"/>
    <col min="8708" max="8960" width="9.140625" style="1"/>
    <col min="8961" max="8961" width="22.140625" style="1" customWidth="1"/>
    <col min="8962" max="8962" width="44.5703125" style="1" customWidth="1"/>
    <col min="8963" max="8963" width="22.140625" style="1" customWidth="1"/>
    <col min="8964" max="9216" width="9.140625" style="1"/>
    <col min="9217" max="9217" width="22.140625" style="1" customWidth="1"/>
    <col min="9218" max="9218" width="44.5703125" style="1" customWidth="1"/>
    <col min="9219" max="9219" width="22.140625" style="1" customWidth="1"/>
    <col min="9220" max="9472" width="9.140625" style="1"/>
    <col min="9473" max="9473" width="22.140625" style="1" customWidth="1"/>
    <col min="9474" max="9474" width="44.5703125" style="1" customWidth="1"/>
    <col min="9475" max="9475" width="22.140625" style="1" customWidth="1"/>
    <col min="9476" max="9728" width="9.140625" style="1"/>
    <col min="9729" max="9729" width="22.140625" style="1" customWidth="1"/>
    <col min="9730" max="9730" width="44.5703125" style="1" customWidth="1"/>
    <col min="9731" max="9731" width="22.140625" style="1" customWidth="1"/>
    <col min="9732" max="9984" width="9.140625" style="1"/>
    <col min="9985" max="9985" width="22.140625" style="1" customWidth="1"/>
    <col min="9986" max="9986" width="44.5703125" style="1" customWidth="1"/>
    <col min="9987" max="9987" width="22.140625" style="1" customWidth="1"/>
    <col min="9988" max="10240" width="9.140625" style="1"/>
    <col min="10241" max="10241" width="22.140625" style="1" customWidth="1"/>
    <col min="10242" max="10242" width="44.5703125" style="1" customWidth="1"/>
    <col min="10243" max="10243" width="22.140625" style="1" customWidth="1"/>
    <col min="10244" max="10496" width="9.140625" style="1"/>
    <col min="10497" max="10497" width="22.140625" style="1" customWidth="1"/>
    <col min="10498" max="10498" width="44.5703125" style="1" customWidth="1"/>
    <col min="10499" max="10499" width="22.140625" style="1" customWidth="1"/>
    <col min="10500" max="10752" width="9.140625" style="1"/>
    <col min="10753" max="10753" width="22.140625" style="1" customWidth="1"/>
    <col min="10754" max="10754" width="44.5703125" style="1" customWidth="1"/>
    <col min="10755" max="10755" width="22.140625" style="1" customWidth="1"/>
    <col min="10756" max="11008" width="9.140625" style="1"/>
    <col min="11009" max="11009" width="22.140625" style="1" customWidth="1"/>
    <col min="11010" max="11010" width="44.5703125" style="1" customWidth="1"/>
    <col min="11011" max="11011" width="22.140625" style="1" customWidth="1"/>
    <col min="11012" max="11264" width="9.140625" style="1"/>
    <col min="11265" max="11265" width="22.140625" style="1" customWidth="1"/>
    <col min="11266" max="11266" width="44.5703125" style="1" customWidth="1"/>
    <col min="11267" max="11267" width="22.140625" style="1" customWidth="1"/>
    <col min="11268" max="11520" width="9.140625" style="1"/>
    <col min="11521" max="11521" width="22.140625" style="1" customWidth="1"/>
    <col min="11522" max="11522" width="44.5703125" style="1" customWidth="1"/>
    <col min="11523" max="11523" width="22.140625" style="1" customWidth="1"/>
    <col min="11524" max="11776" width="9.140625" style="1"/>
    <col min="11777" max="11777" width="22.140625" style="1" customWidth="1"/>
    <col min="11778" max="11778" width="44.5703125" style="1" customWidth="1"/>
    <col min="11779" max="11779" width="22.140625" style="1" customWidth="1"/>
    <col min="11780" max="12032" width="9.140625" style="1"/>
    <col min="12033" max="12033" width="22.140625" style="1" customWidth="1"/>
    <col min="12034" max="12034" width="44.5703125" style="1" customWidth="1"/>
    <col min="12035" max="12035" width="22.140625" style="1" customWidth="1"/>
    <col min="12036" max="12288" width="9.140625" style="1"/>
    <col min="12289" max="12289" width="22.140625" style="1" customWidth="1"/>
    <col min="12290" max="12290" width="44.5703125" style="1" customWidth="1"/>
    <col min="12291" max="12291" width="22.140625" style="1" customWidth="1"/>
    <col min="12292" max="12544" width="9.140625" style="1"/>
    <col min="12545" max="12545" width="22.140625" style="1" customWidth="1"/>
    <col min="12546" max="12546" width="44.5703125" style="1" customWidth="1"/>
    <col min="12547" max="12547" width="22.140625" style="1" customWidth="1"/>
    <col min="12548" max="12800" width="9.140625" style="1"/>
    <col min="12801" max="12801" width="22.140625" style="1" customWidth="1"/>
    <col min="12802" max="12802" width="44.5703125" style="1" customWidth="1"/>
    <col min="12803" max="12803" width="22.140625" style="1" customWidth="1"/>
    <col min="12804" max="13056" width="9.140625" style="1"/>
    <col min="13057" max="13057" width="22.140625" style="1" customWidth="1"/>
    <col min="13058" max="13058" width="44.5703125" style="1" customWidth="1"/>
    <col min="13059" max="13059" width="22.140625" style="1" customWidth="1"/>
    <col min="13060" max="13312" width="9.140625" style="1"/>
    <col min="13313" max="13313" width="22.140625" style="1" customWidth="1"/>
    <col min="13314" max="13314" width="44.5703125" style="1" customWidth="1"/>
    <col min="13315" max="13315" width="22.140625" style="1" customWidth="1"/>
    <col min="13316" max="13568" width="9.140625" style="1"/>
    <col min="13569" max="13569" width="22.140625" style="1" customWidth="1"/>
    <col min="13570" max="13570" width="44.5703125" style="1" customWidth="1"/>
    <col min="13571" max="13571" width="22.140625" style="1" customWidth="1"/>
    <col min="13572" max="13824" width="9.140625" style="1"/>
    <col min="13825" max="13825" width="22.140625" style="1" customWidth="1"/>
    <col min="13826" max="13826" width="44.5703125" style="1" customWidth="1"/>
    <col min="13827" max="13827" width="22.140625" style="1" customWidth="1"/>
    <col min="13828" max="14080" width="9.140625" style="1"/>
    <col min="14081" max="14081" width="22.140625" style="1" customWidth="1"/>
    <col min="14082" max="14082" width="44.5703125" style="1" customWidth="1"/>
    <col min="14083" max="14083" width="22.140625" style="1" customWidth="1"/>
    <col min="14084" max="14336" width="9.140625" style="1"/>
    <col min="14337" max="14337" width="22.140625" style="1" customWidth="1"/>
    <col min="14338" max="14338" width="44.5703125" style="1" customWidth="1"/>
    <col min="14339" max="14339" width="22.140625" style="1" customWidth="1"/>
    <col min="14340" max="14592" width="9.140625" style="1"/>
    <col min="14593" max="14593" width="22.140625" style="1" customWidth="1"/>
    <col min="14594" max="14594" width="44.5703125" style="1" customWidth="1"/>
    <col min="14595" max="14595" width="22.140625" style="1" customWidth="1"/>
    <col min="14596" max="14848" width="9.140625" style="1"/>
    <col min="14849" max="14849" width="22.140625" style="1" customWidth="1"/>
    <col min="14850" max="14850" width="44.5703125" style="1" customWidth="1"/>
    <col min="14851" max="14851" width="22.140625" style="1" customWidth="1"/>
    <col min="14852" max="15104" width="9.140625" style="1"/>
    <col min="15105" max="15105" width="22.140625" style="1" customWidth="1"/>
    <col min="15106" max="15106" width="44.5703125" style="1" customWidth="1"/>
    <col min="15107" max="15107" width="22.140625" style="1" customWidth="1"/>
    <col min="15108" max="15360" width="9.140625" style="1"/>
    <col min="15361" max="15361" width="22.140625" style="1" customWidth="1"/>
    <col min="15362" max="15362" width="44.5703125" style="1" customWidth="1"/>
    <col min="15363" max="15363" width="22.140625" style="1" customWidth="1"/>
    <col min="15364" max="15616" width="9.140625" style="1"/>
    <col min="15617" max="15617" width="22.140625" style="1" customWidth="1"/>
    <col min="15618" max="15618" width="44.5703125" style="1" customWidth="1"/>
    <col min="15619" max="15619" width="22.140625" style="1" customWidth="1"/>
    <col min="15620" max="15872" width="9.140625" style="1"/>
    <col min="15873" max="15873" width="22.140625" style="1" customWidth="1"/>
    <col min="15874" max="15874" width="44.5703125" style="1" customWidth="1"/>
    <col min="15875" max="15875" width="22.140625" style="1" customWidth="1"/>
    <col min="15876" max="16128" width="9.140625" style="1"/>
    <col min="16129" max="16129" width="22.140625" style="1" customWidth="1"/>
    <col min="16130" max="16130" width="44.5703125" style="1" customWidth="1"/>
    <col min="16131" max="16131" width="22.140625" style="1" customWidth="1"/>
    <col min="16132" max="16384" width="9.140625" style="1"/>
  </cols>
  <sheetData>
    <row r="1" spans="1:3" ht="25.5" customHeight="1">
      <c r="A1" s="668" t="s">
        <v>0</v>
      </c>
      <c r="B1" s="671" t="s">
        <v>7</v>
      </c>
      <c r="C1" s="672"/>
    </row>
    <row r="2" spans="1:3">
      <c r="A2" s="669"/>
      <c r="B2" s="671"/>
      <c r="C2" s="673"/>
    </row>
    <row r="3" spans="1:3" ht="16.5" customHeight="1">
      <c r="A3" s="670"/>
      <c r="B3" s="671"/>
      <c r="C3" s="674"/>
    </row>
    <row r="17" spans="2:2" ht="25.5">
      <c r="B17" s="2" t="s">
        <v>8</v>
      </c>
    </row>
    <row r="19" spans="2:2" ht="22.5">
      <c r="B19" s="3" t="s">
        <v>9</v>
      </c>
    </row>
    <row r="30" spans="2:2" ht="19.5">
      <c r="B30" s="4" t="s">
        <v>1</v>
      </c>
    </row>
    <row r="51" spans="1:3" ht="19.5">
      <c r="B51" s="5"/>
    </row>
    <row r="56" spans="1:3" ht="29.25" customHeight="1">
      <c r="A56" s="668" t="s">
        <v>0</v>
      </c>
      <c r="B56" s="671" t="str">
        <f>+B1</f>
        <v>GODIŠNJI IZVJEŠTAJ ZA 2024. GODINU</v>
      </c>
      <c r="C56" s="672"/>
    </row>
    <row r="57" spans="1:3">
      <c r="A57" s="669"/>
      <c r="B57" s="671"/>
      <c r="C57" s="673"/>
    </row>
    <row r="58" spans="1:3">
      <c r="A58" s="670"/>
      <c r="B58" s="671"/>
      <c r="C58" s="674"/>
    </row>
    <row r="64" spans="1:3" ht="15.75">
      <c r="A64" s="6" t="s">
        <v>2</v>
      </c>
    </row>
    <row r="67" spans="1:3" ht="15.75">
      <c r="A67" s="675" t="s">
        <v>3</v>
      </c>
      <c r="B67" s="675"/>
      <c r="C67" s="1">
        <v>1</v>
      </c>
    </row>
    <row r="68" spans="1:3" ht="28.5" customHeight="1">
      <c r="A68" s="675" t="s">
        <v>4</v>
      </c>
      <c r="B68" s="675"/>
      <c r="C68" s="1">
        <v>7</v>
      </c>
    </row>
    <row r="69" spans="1:3" ht="15.75">
      <c r="A69" s="675" t="s">
        <v>5</v>
      </c>
      <c r="B69" s="675"/>
      <c r="C69" s="1">
        <v>10</v>
      </c>
    </row>
    <row r="70" spans="1:3" ht="15.75">
      <c r="A70" s="675" t="s">
        <v>6</v>
      </c>
      <c r="B70" s="675"/>
      <c r="C70" s="1">
        <v>11</v>
      </c>
    </row>
    <row r="71" spans="1:3" ht="28.5" customHeight="1">
      <c r="A71" s="676" t="s">
        <v>10</v>
      </c>
      <c r="B71" s="676"/>
      <c r="C71" s="1">
        <v>15</v>
      </c>
    </row>
  </sheetData>
  <mergeCells count="11">
    <mergeCell ref="A67:B67"/>
    <mergeCell ref="A68:B68"/>
    <mergeCell ref="A69:B69"/>
    <mergeCell ref="A70:B70"/>
    <mergeCell ref="A71:B71"/>
    <mergeCell ref="A1:A3"/>
    <mergeCell ref="B1:B3"/>
    <mergeCell ref="C1:C3"/>
    <mergeCell ref="A56:A58"/>
    <mergeCell ref="B56:B58"/>
    <mergeCell ref="C56:C58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headerFooter scaleWithDoc="0" alignWithMargins="0"/>
  <rowBreaks count="1" manualBreakCount="1">
    <brk id="55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Normal="115" zoomScaleSheetLayoutView="100" workbookViewId="0">
      <selection activeCell="J9" sqref="J9"/>
    </sheetView>
  </sheetViews>
  <sheetFormatPr defaultRowHeight="12.75"/>
  <cols>
    <col min="1" max="1" width="4.140625" style="147" customWidth="1"/>
    <col min="2" max="2" width="41.42578125" style="147" customWidth="1"/>
    <col min="3" max="3" width="15.85546875" style="440" customWidth="1"/>
    <col min="4" max="4" width="10.85546875" style="572" customWidth="1"/>
    <col min="5" max="5" width="15.85546875" style="147" customWidth="1"/>
    <col min="6" max="6" width="10.7109375" style="147" customWidth="1"/>
    <col min="7" max="7" width="9.7109375" style="147" customWidth="1"/>
    <col min="8" max="16384" width="9.140625" style="147"/>
  </cols>
  <sheetData>
    <row r="1" spans="1:7" ht="12.75" customHeight="1">
      <c r="A1" s="209"/>
      <c r="B1" s="209"/>
      <c r="C1" s="569"/>
      <c r="D1" s="570"/>
      <c r="E1" s="209"/>
      <c r="F1" s="209"/>
      <c r="G1" s="209"/>
    </row>
    <row r="2" spans="1:7" ht="12.75" customHeight="1">
      <c r="A2" s="209"/>
      <c r="B2" s="209"/>
      <c r="C2" s="569"/>
      <c r="D2" s="570"/>
      <c r="E2" s="209"/>
      <c r="F2" s="209"/>
      <c r="G2" s="209"/>
    </row>
    <row r="3" spans="1:7" ht="23.25" customHeight="1">
      <c r="A3" s="571" t="s">
        <v>265</v>
      </c>
      <c r="B3" s="209"/>
      <c r="C3" s="569"/>
      <c r="D3" s="570"/>
      <c r="E3" s="209"/>
      <c r="F3" s="209"/>
      <c r="G3" s="209"/>
    </row>
    <row r="4" spans="1:7" ht="15.75" customHeight="1"/>
    <row r="5" spans="1:7">
      <c r="A5" s="573" t="s">
        <v>266</v>
      </c>
      <c r="C5" s="574"/>
    </row>
    <row r="6" spans="1:7" ht="12.75" customHeight="1">
      <c r="A6" s="575" t="s">
        <v>267</v>
      </c>
      <c r="B6" s="823" t="s">
        <v>56</v>
      </c>
      <c r="C6" s="576" t="s">
        <v>268</v>
      </c>
      <c r="D6" s="577" t="s">
        <v>269</v>
      </c>
      <c r="E6" s="576" t="s">
        <v>268</v>
      </c>
      <c r="F6" s="575" t="s">
        <v>269</v>
      </c>
      <c r="G6" s="576" t="s">
        <v>79</v>
      </c>
    </row>
    <row r="7" spans="1:7" ht="22.5" customHeight="1">
      <c r="A7" s="578" t="s">
        <v>270</v>
      </c>
      <c r="B7" s="824"/>
      <c r="C7" s="579" t="s">
        <v>271</v>
      </c>
      <c r="D7" s="580" t="s">
        <v>19</v>
      </c>
      <c r="E7" s="579" t="s">
        <v>272</v>
      </c>
      <c r="F7" s="581" t="s">
        <v>19</v>
      </c>
      <c r="G7" s="582" t="s">
        <v>83</v>
      </c>
    </row>
    <row r="8" spans="1:7" ht="12.75" customHeight="1">
      <c r="A8" s="583">
        <v>1</v>
      </c>
      <c r="B8" s="584">
        <v>2</v>
      </c>
      <c r="C8" s="585">
        <v>3</v>
      </c>
      <c r="D8" s="586">
        <v>4</v>
      </c>
      <c r="E8" s="585">
        <v>5</v>
      </c>
      <c r="F8" s="585">
        <v>6</v>
      </c>
      <c r="G8" s="587">
        <v>7</v>
      </c>
    </row>
    <row r="9" spans="1:7" s="50" customFormat="1" ht="21" customHeight="1">
      <c r="A9" s="588" t="s">
        <v>213</v>
      </c>
      <c r="B9" s="589" t="s">
        <v>214</v>
      </c>
      <c r="C9" s="590">
        <f>+C10+C23</f>
        <v>8145087.4700000007</v>
      </c>
      <c r="D9" s="591">
        <f>+C9/C25*100</f>
        <v>99.545777434401558</v>
      </c>
      <c r="E9" s="590">
        <f>+E10+E23</f>
        <v>8212343.4400000004</v>
      </c>
      <c r="F9" s="591">
        <f>+E9/E25*100</f>
        <v>98.719433496088598</v>
      </c>
      <c r="G9" s="592">
        <f>+E9/C9*100</f>
        <v>100.82572434301925</v>
      </c>
    </row>
    <row r="10" spans="1:7" s="50" customFormat="1" ht="21" customHeight="1">
      <c r="A10" s="593" t="s">
        <v>97</v>
      </c>
      <c r="B10" s="594" t="s">
        <v>215</v>
      </c>
      <c r="C10" s="590">
        <f>+C11+C15</f>
        <v>7572725.4500000002</v>
      </c>
      <c r="D10" s="591">
        <f>+C10/C9*100</f>
        <v>92.972917453518761</v>
      </c>
      <c r="E10" s="590">
        <f>+E11+E15</f>
        <v>7806544.4400000004</v>
      </c>
      <c r="F10" s="591">
        <f>+E10/E9*100</f>
        <v>95.05866987949544</v>
      </c>
      <c r="G10" s="592">
        <f t="shared" ref="G10:G25" si="0">+E10/C10*100</f>
        <v>103.08764646947553</v>
      </c>
    </row>
    <row r="11" spans="1:7" s="151" customFormat="1" ht="21" customHeight="1">
      <c r="A11" s="588" t="s">
        <v>84</v>
      </c>
      <c r="B11" s="589" t="s">
        <v>216</v>
      </c>
      <c r="C11" s="595">
        <f>SUM(C12:C14)</f>
        <v>3917270.6500000004</v>
      </c>
      <c r="D11" s="591">
        <f>+C11/$C$10*100</f>
        <v>51.728676496518176</v>
      </c>
      <c r="E11" s="595">
        <f>SUM(E12:E14)</f>
        <v>4804828.08</v>
      </c>
      <c r="F11" s="596">
        <f>+E11/$E$10*100</f>
        <v>61.548718731177807</v>
      </c>
      <c r="G11" s="592">
        <f t="shared" si="0"/>
        <v>122.65754677941388</v>
      </c>
    </row>
    <row r="12" spans="1:7" s="151" customFormat="1" ht="21" customHeight="1">
      <c r="A12" s="597"/>
      <c r="B12" s="598" t="s">
        <v>217</v>
      </c>
      <c r="C12" s="599">
        <f>+'Specifikacija prihoda'!C13</f>
        <v>2372615.2000000002</v>
      </c>
      <c r="D12" s="600">
        <f>+C12/$C$11*100</f>
        <v>60.568069249950852</v>
      </c>
      <c r="E12" s="599">
        <f>+'Specifikacija prihoda'!E13</f>
        <v>2923834.27</v>
      </c>
      <c r="F12" s="601">
        <f>+E12/$E$11*100</f>
        <v>60.852005968130285</v>
      </c>
      <c r="G12" s="602">
        <f t="shared" si="0"/>
        <v>123.23255241726511</v>
      </c>
    </row>
    <row r="13" spans="1:7" s="151" customFormat="1" ht="21" customHeight="1">
      <c r="A13" s="603"/>
      <c r="B13" s="604" t="s">
        <v>218</v>
      </c>
      <c r="C13" s="605">
        <f>+'Specifikacija prihoda'!C14</f>
        <v>595338.39</v>
      </c>
      <c r="D13" s="606">
        <f>+C13/$C$11*100</f>
        <v>15.197785478519336</v>
      </c>
      <c r="E13" s="605">
        <f>+'Specifikacija prihoda'!E14</f>
        <v>722637.37</v>
      </c>
      <c r="F13" s="607">
        <f>+E13/$E$11*100</f>
        <v>15.039817407993503</v>
      </c>
      <c r="G13" s="608">
        <f t="shared" si="0"/>
        <v>121.38262577019432</v>
      </c>
    </row>
    <row r="14" spans="1:7" s="151" customFormat="1" ht="21" customHeight="1">
      <c r="A14" s="609"/>
      <c r="B14" s="610" t="s">
        <v>219</v>
      </c>
      <c r="C14" s="605">
        <f>+'Specifikacija prihoda'!C15</f>
        <v>949317.06</v>
      </c>
      <c r="D14" s="611">
        <f>+C14/$C$11*100</f>
        <v>24.234145271529808</v>
      </c>
      <c r="E14" s="612">
        <f>+'Specifikacija prihoda'!E15</f>
        <v>1158356.44</v>
      </c>
      <c r="F14" s="613">
        <f>+E14/$E$11*100</f>
        <v>24.108176623876208</v>
      </c>
      <c r="G14" s="614">
        <f t="shared" si="0"/>
        <v>122.01997507555589</v>
      </c>
    </row>
    <row r="15" spans="1:7" s="151" customFormat="1" ht="21" customHeight="1">
      <c r="A15" s="615" t="s">
        <v>86</v>
      </c>
      <c r="B15" s="616" t="s">
        <v>220</v>
      </c>
      <c r="C15" s="617">
        <f>SUM(C16:C22)</f>
        <v>3655454.8</v>
      </c>
      <c r="D15" s="618">
        <f>+C15/$C$10*100</f>
        <v>48.271323503481824</v>
      </c>
      <c r="E15" s="619">
        <f>SUM(E16:E22)</f>
        <v>3001716.3600000003</v>
      </c>
      <c r="F15" s="620">
        <f>+E15/$E$10*100</f>
        <v>38.451281268822193</v>
      </c>
      <c r="G15" s="621">
        <f t="shared" si="0"/>
        <v>82.116084707161491</v>
      </c>
    </row>
    <row r="16" spans="1:7" s="151" customFormat="1" ht="21" customHeight="1">
      <c r="A16" s="597"/>
      <c r="B16" s="622" t="s">
        <v>221</v>
      </c>
      <c r="C16" s="623">
        <f>+'Specifikacija prihoda'!C17</f>
        <v>131113.38</v>
      </c>
      <c r="D16" s="624">
        <f>+C16/$C$15*100</f>
        <v>3.5867870668240793</v>
      </c>
      <c r="E16" s="599">
        <f>+'Specifikacija prihoda'!E17</f>
        <v>41043.64</v>
      </c>
      <c r="F16" s="601">
        <f>+E16/$E$15*100</f>
        <v>1.3673390513152945</v>
      </c>
      <c r="G16" s="602">
        <f t="shared" si="0"/>
        <v>31.303929469288335</v>
      </c>
    </row>
    <row r="17" spans="1:7" s="151" customFormat="1" ht="21" customHeight="1">
      <c r="A17" s="597"/>
      <c r="B17" s="625" t="s">
        <v>222</v>
      </c>
      <c r="C17" s="623">
        <f>+'Specifikacija prihoda'!C18</f>
        <v>290858.73</v>
      </c>
      <c r="D17" s="624">
        <f t="shared" ref="D17:D22" si="1">+C17/$C$15*100</f>
        <v>7.9568411022343923</v>
      </c>
      <c r="E17" s="599">
        <f>+'Specifikacija prihoda'!E18</f>
        <v>303675.78999999998</v>
      </c>
      <c r="F17" s="601">
        <f t="shared" ref="F17:F22" si="2">+E17/$E$15*100</f>
        <v>10.116738344991395</v>
      </c>
      <c r="G17" s="602">
        <f t="shared" si="0"/>
        <v>104.40662723102724</v>
      </c>
    </row>
    <row r="18" spans="1:7" s="151" customFormat="1" ht="21" customHeight="1">
      <c r="A18" s="597"/>
      <c r="B18" s="625" t="s">
        <v>223</v>
      </c>
      <c r="C18" s="623">
        <f>+'Specifikacija prihoda'!C19</f>
        <v>388275.3</v>
      </c>
      <c r="D18" s="624">
        <f t="shared" si="1"/>
        <v>10.621805527454477</v>
      </c>
      <c r="E18" s="605">
        <f>+'Specifikacija prihoda'!E19</f>
        <v>370091.96</v>
      </c>
      <c r="F18" s="601">
        <f t="shared" si="2"/>
        <v>12.329344801918591</v>
      </c>
      <c r="G18" s="608">
        <f t="shared" si="0"/>
        <v>95.316894996926166</v>
      </c>
    </row>
    <row r="19" spans="1:7" s="151" customFormat="1" ht="21" customHeight="1">
      <c r="A19" s="597"/>
      <c r="B19" s="626" t="s">
        <v>224</v>
      </c>
      <c r="C19" s="623">
        <f>+'Specifikacija prihoda'!C20</f>
        <v>46301.98</v>
      </c>
      <c r="D19" s="624">
        <f t="shared" si="1"/>
        <v>1.2666544255997914</v>
      </c>
      <c r="E19" s="605">
        <f>+'Specifikacija prihoda'!E20</f>
        <v>46316.37</v>
      </c>
      <c r="F19" s="601">
        <f t="shared" si="2"/>
        <v>1.5429962210020403</v>
      </c>
      <c r="G19" s="608">
        <f t="shared" si="0"/>
        <v>100.03107858454435</v>
      </c>
    </row>
    <row r="20" spans="1:7" s="151" customFormat="1" ht="21" customHeight="1">
      <c r="A20" s="597"/>
      <c r="B20" s="627" t="s">
        <v>225</v>
      </c>
      <c r="C20" s="623">
        <f>+'Specifikacija prihoda'!C21</f>
        <v>121069.3</v>
      </c>
      <c r="D20" s="624">
        <f t="shared" si="1"/>
        <v>3.3120174266687696</v>
      </c>
      <c r="E20" s="605">
        <f>+'Specifikacija prihoda'!E21</f>
        <v>75988.67</v>
      </c>
      <c r="F20" s="601">
        <f t="shared" si="2"/>
        <v>2.5315073406869124</v>
      </c>
      <c r="G20" s="628">
        <f>+E20/C20*100</f>
        <v>62.764606716979443</v>
      </c>
    </row>
    <row r="21" spans="1:7" s="151" customFormat="1" ht="21" customHeight="1">
      <c r="A21" s="597"/>
      <c r="B21" s="625" t="s">
        <v>226</v>
      </c>
      <c r="C21" s="623">
        <f>+'Specifikacija prihoda'!C22</f>
        <v>30195.02</v>
      </c>
      <c r="D21" s="624">
        <f t="shared" si="1"/>
        <v>0.82602635382059719</v>
      </c>
      <c r="E21" s="605">
        <f>+'Specifikacija prihoda'!E22</f>
        <v>24925.84</v>
      </c>
      <c r="F21" s="601">
        <f t="shared" si="2"/>
        <v>0.83038625275040967</v>
      </c>
      <c r="G21" s="628">
        <f t="shared" si="0"/>
        <v>82.549506508026809</v>
      </c>
    </row>
    <row r="22" spans="1:7" s="151" customFormat="1" ht="21" customHeight="1">
      <c r="A22" s="597"/>
      <c r="B22" s="629" t="s">
        <v>227</v>
      </c>
      <c r="C22" s="623">
        <f>+'Specifikacija prihoda'!C23+'Specifikacija prihoda'!C24</f>
        <v>2647641.09</v>
      </c>
      <c r="D22" s="624">
        <f t="shared" si="1"/>
        <v>72.4298680973979</v>
      </c>
      <c r="E22" s="630">
        <f>+'Specifikacija prihoda'!E23+'Specifikacija prihoda'!E24</f>
        <v>2139674.0900000003</v>
      </c>
      <c r="F22" s="601">
        <f t="shared" si="2"/>
        <v>71.281687987335346</v>
      </c>
      <c r="G22" s="614">
        <f t="shared" si="0"/>
        <v>80.814355770554997</v>
      </c>
    </row>
    <row r="23" spans="1:7" s="50" customFormat="1" ht="21" customHeight="1">
      <c r="A23" s="593" t="s">
        <v>107</v>
      </c>
      <c r="B23" s="631" t="s">
        <v>229</v>
      </c>
      <c r="C23" s="617">
        <f>+'Specifikacija prihoda'!C25</f>
        <v>572362.02</v>
      </c>
      <c r="D23" s="591">
        <f>+C23/C9*100</f>
        <v>7.0270825464812354</v>
      </c>
      <c r="E23" s="617">
        <f>+'Specifikacija prihoda'!E25</f>
        <v>405799</v>
      </c>
      <c r="F23" s="591">
        <f>+E23/E9*100</f>
        <v>4.9413301205045554</v>
      </c>
      <c r="G23" s="592">
        <f t="shared" si="0"/>
        <v>70.899008987353838</v>
      </c>
    </row>
    <row r="24" spans="1:7" s="50" customFormat="1" ht="21" customHeight="1">
      <c r="A24" s="588" t="s">
        <v>233</v>
      </c>
      <c r="B24" s="632" t="s">
        <v>234</v>
      </c>
      <c r="C24" s="617">
        <f>+'Specifikacija prihoda'!C29</f>
        <v>37165.64</v>
      </c>
      <c r="D24" s="591">
        <f>+C24/C25*100</f>
        <v>0.45422256559843821</v>
      </c>
      <c r="E24" s="617">
        <f>+'Specifikacija prihoda'!E29</f>
        <v>106528.69</v>
      </c>
      <c r="F24" s="591">
        <f>+E24/E25*100</f>
        <v>1.28056650391139</v>
      </c>
      <c r="G24" s="592">
        <f t="shared" si="0"/>
        <v>286.6321957593089</v>
      </c>
    </row>
    <row r="25" spans="1:7" s="50" customFormat="1" ht="21" customHeight="1" thickBot="1">
      <c r="A25" s="633" t="s">
        <v>235</v>
      </c>
      <c r="B25" s="634" t="s">
        <v>236</v>
      </c>
      <c r="C25" s="635">
        <f>+C9+C24</f>
        <v>8182253.1100000003</v>
      </c>
      <c r="D25" s="636">
        <f>+D9+D24</f>
        <v>100</v>
      </c>
      <c r="E25" s="635">
        <f>+E9+E24</f>
        <v>8318872.1300000008</v>
      </c>
      <c r="F25" s="636">
        <f>+F9+F24</f>
        <v>99.999999999999986</v>
      </c>
      <c r="G25" s="636">
        <f t="shared" si="0"/>
        <v>101.66969926453424</v>
      </c>
    </row>
    <row r="26" spans="1:7" ht="13.5" thickTop="1">
      <c r="C26" s="147"/>
    </row>
    <row r="27" spans="1:7">
      <c r="C27" s="147"/>
    </row>
    <row r="28" spans="1:7">
      <c r="C28" s="147"/>
    </row>
    <row r="29" spans="1:7" ht="24.75" customHeight="1">
      <c r="A29" s="571" t="s">
        <v>273</v>
      </c>
      <c r="C29" s="147"/>
    </row>
    <row r="30" spans="1:7" ht="24.75" customHeight="1">
      <c r="A30" s="571"/>
      <c r="C30" s="147"/>
    </row>
    <row r="31" spans="1:7">
      <c r="A31" s="573" t="s">
        <v>274</v>
      </c>
      <c r="C31" s="147"/>
    </row>
    <row r="32" spans="1:7" ht="12.75" customHeight="1">
      <c r="A32" s="575" t="s">
        <v>267</v>
      </c>
      <c r="B32" s="823" t="s">
        <v>56</v>
      </c>
      <c r="C32" s="576" t="s">
        <v>268</v>
      </c>
      <c r="D32" s="577" t="s">
        <v>269</v>
      </c>
      <c r="E32" s="576" t="s">
        <v>268</v>
      </c>
      <c r="F32" s="577" t="s">
        <v>269</v>
      </c>
      <c r="G32" s="576" t="s">
        <v>79</v>
      </c>
    </row>
    <row r="33" spans="1:7" ht="24" customHeight="1">
      <c r="A33" s="578" t="s">
        <v>270</v>
      </c>
      <c r="B33" s="824"/>
      <c r="C33" s="579" t="s">
        <v>271</v>
      </c>
      <c r="D33" s="580" t="s">
        <v>19</v>
      </c>
      <c r="E33" s="579" t="s">
        <v>272</v>
      </c>
      <c r="F33" s="580" t="s">
        <v>19</v>
      </c>
      <c r="G33" s="582" t="s">
        <v>83</v>
      </c>
    </row>
    <row r="34" spans="1:7">
      <c r="A34" s="583">
        <v>1</v>
      </c>
      <c r="B34" s="584">
        <v>2</v>
      </c>
      <c r="C34" s="585">
        <v>3</v>
      </c>
      <c r="D34" s="586">
        <v>4</v>
      </c>
      <c r="E34" s="585">
        <v>5</v>
      </c>
      <c r="F34" s="585">
        <v>6</v>
      </c>
      <c r="G34" s="587">
        <v>7</v>
      </c>
    </row>
    <row r="35" spans="1:7" ht="25.5" customHeight="1">
      <c r="A35" s="637" t="s">
        <v>213</v>
      </c>
      <c r="B35" s="638" t="s">
        <v>186</v>
      </c>
      <c r="C35" s="595">
        <f>+C36+C40+C41+C42+C43+C44</f>
        <v>8032865.8399999999</v>
      </c>
      <c r="D35" s="591">
        <f>+C35/C47*100</f>
        <v>98.95720986752093</v>
      </c>
      <c r="E35" s="595">
        <f>+E36+E40+E41+E42+E43+E44</f>
        <v>8132321.8000000007</v>
      </c>
      <c r="F35" s="591">
        <f>+E35/E47*100</f>
        <v>99.032934412910024</v>
      </c>
      <c r="G35" s="592">
        <f t="shared" ref="G35:G45" si="3">+E35/C35*100</f>
        <v>101.23811304683761</v>
      </c>
    </row>
    <row r="36" spans="1:7" ht="21" customHeight="1">
      <c r="A36" s="639" t="s">
        <v>84</v>
      </c>
      <c r="B36" s="640" t="s">
        <v>239</v>
      </c>
      <c r="C36" s="641">
        <f>SUM(C37:C39)</f>
        <v>1913722.6400000001</v>
      </c>
      <c r="D36" s="642">
        <f>+C36/$C$35*100</f>
        <v>23.823659925583922</v>
      </c>
      <c r="E36" s="641">
        <f>SUM(E37:E39)</f>
        <v>2098248.67</v>
      </c>
      <c r="F36" s="642">
        <f>+E36/$E$35*100</f>
        <v>25.801348269322048</v>
      </c>
      <c r="G36" s="643">
        <f t="shared" si="3"/>
        <v>109.64225568235948</v>
      </c>
    </row>
    <row r="37" spans="1:7" ht="21" customHeight="1">
      <c r="A37" s="644" t="s">
        <v>240</v>
      </c>
      <c r="B37" s="645" t="s">
        <v>187</v>
      </c>
      <c r="C37" s="605">
        <f>+'Specifikacija rashoda'!C13</f>
        <v>550018.80000000005</v>
      </c>
      <c r="D37" s="606">
        <f>+C37/C36*100</f>
        <v>28.740779280324553</v>
      </c>
      <c r="E37" s="605">
        <f>+'Specifikacija rashoda'!E13</f>
        <v>419117.01</v>
      </c>
      <c r="F37" s="606">
        <f>+E37/E36*100</f>
        <v>19.974611016910597</v>
      </c>
      <c r="G37" s="608">
        <f t="shared" si="3"/>
        <v>76.20048805604462</v>
      </c>
    </row>
    <row r="38" spans="1:7" ht="21" customHeight="1">
      <c r="A38" s="644" t="s">
        <v>245</v>
      </c>
      <c r="B38" s="645" t="s">
        <v>188</v>
      </c>
      <c r="C38" s="605">
        <f>+'Specifikacija rashoda'!C18</f>
        <v>568674.47</v>
      </c>
      <c r="D38" s="606">
        <f>+C38/C36*100</f>
        <v>29.715615947355879</v>
      </c>
      <c r="E38" s="605">
        <f>+'Specifikacija rashoda'!E18</f>
        <v>632277.66999999993</v>
      </c>
      <c r="F38" s="606">
        <f>+E38/E36*100</f>
        <v>30.133590886536815</v>
      </c>
      <c r="G38" s="608">
        <f t="shared" si="3"/>
        <v>111.18446551680083</v>
      </c>
    </row>
    <row r="39" spans="1:7" ht="21" customHeight="1">
      <c r="A39" s="644" t="s">
        <v>248</v>
      </c>
      <c r="B39" s="646" t="s">
        <v>249</v>
      </c>
      <c r="C39" s="605">
        <f>+'Specifikacija rashoda'!C21</f>
        <v>795029.37000000011</v>
      </c>
      <c r="D39" s="606">
        <f>+C39/C36*100</f>
        <v>41.543604772319568</v>
      </c>
      <c r="E39" s="605">
        <f>+'Specifikacija rashoda'!E21</f>
        <v>1046853.99</v>
      </c>
      <c r="F39" s="606">
        <f>+E39/E36*100</f>
        <v>49.891798096552591</v>
      </c>
      <c r="G39" s="608">
        <f t="shared" si="3"/>
        <v>131.67488265244839</v>
      </c>
    </row>
    <row r="40" spans="1:7" ht="21" customHeight="1">
      <c r="A40" s="647" t="s">
        <v>86</v>
      </c>
      <c r="B40" s="648" t="s">
        <v>190</v>
      </c>
      <c r="C40" s="649">
        <f>+'Specifikacija rashoda'!C25</f>
        <v>1496786.3</v>
      </c>
      <c r="D40" s="650">
        <f>+C40/$C$35*100</f>
        <v>18.63327895440116</v>
      </c>
      <c r="E40" s="649">
        <f>+'Specifikacija rashoda'!E25</f>
        <v>1793149.4300000002</v>
      </c>
      <c r="F40" s="650">
        <f>+E40/$E$35*100</f>
        <v>22.049661512410886</v>
      </c>
      <c r="G40" s="651">
        <f t="shared" si="3"/>
        <v>119.79996276021501</v>
      </c>
    </row>
    <row r="41" spans="1:7" ht="21" customHeight="1">
      <c r="A41" s="647" t="s">
        <v>88</v>
      </c>
      <c r="B41" s="652" t="s">
        <v>191</v>
      </c>
      <c r="C41" s="649">
        <f>+'Specifikacija rashoda'!C29</f>
        <v>2545760.96</v>
      </c>
      <c r="D41" s="650">
        <f>+C41/$C$35*100</f>
        <v>31.691814735947339</v>
      </c>
      <c r="E41" s="649">
        <f>+'Specifikacija rashoda'!E29</f>
        <v>2448791.96</v>
      </c>
      <c r="F41" s="650">
        <f>+E41/$E$35*100</f>
        <v>30.111842844192417</v>
      </c>
      <c r="G41" s="651">
        <f t="shared" si="3"/>
        <v>96.190962092528906</v>
      </c>
    </row>
    <row r="42" spans="1:7" ht="21" customHeight="1">
      <c r="A42" s="647" t="s">
        <v>90</v>
      </c>
      <c r="B42" s="652" t="s">
        <v>275</v>
      </c>
      <c r="C42" s="649">
        <f>+'Specifikacija rashoda'!C30</f>
        <v>266310.96000000002</v>
      </c>
      <c r="D42" s="650">
        <f>+C42/$C$35*100</f>
        <v>3.3152671201589499</v>
      </c>
      <c r="E42" s="649">
        <f>+'Specifikacija rashoda'!E30</f>
        <v>98298.81</v>
      </c>
      <c r="F42" s="650">
        <f>+E42/$E$35*100</f>
        <v>1.2087422561168202</v>
      </c>
      <c r="G42" s="651">
        <f t="shared" si="3"/>
        <v>36.911289719356645</v>
      </c>
    </row>
    <row r="43" spans="1:7" ht="21" customHeight="1">
      <c r="A43" s="647" t="s">
        <v>92</v>
      </c>
      <c r="B43" s="652" t="s">
        <v>193</v>
      </c>
      <c r="C43" s="653">
        <f>+'Specifikacija rashoda'!C31</f>
        <v>64739.51</v>
      </c>
      <c r="D43" s="650">
        <f>+C43/$C$35*100</f>
        <v>0.80593291721152405</v>
      </c>
      <c r="E43" s="653">
        <f>+'Specifikacija rashoda'!E31</f>
        <v>87106.82</v>
      </c>
      <c r="F43" s="650">
        <f>+E43/$E$35*100</f>
        <v>1.0711187056075424</v>
      </c>
      <c r="G43" s="651">
        <f t="shared" si="3"/>
        <v>134.54970542718041</v>
      </c>
    </row>
    <row r="44" spans="1:7" ht="21" customHeight="1">
      <c r="A44" s="647" t="s">
        <v>94</v>
      </c>
      <c r="B44" s="652" t="s">
        <v>194</v>
      </c>
      <c r="C44" s="654">
        <f>+'Specifikacija rashoda'!C32</f>
        <v>1745545.47</v>
      </c>
      <c r="D44" s="642">
        <f>+C44/$C$35*100</f>
        <v>21.730046346697108</v>
      </c>
      <c r="E44" s="654">
        <f>+'Specifikacija rashoda'!E32</f>
        <v>1606726.1099999999</v>
      </c>
      <c r="F44" s="642">
        <f>+E44/$E$35*100</f>
        <v>19.757286412350279</v>
      </c>
      <c r="G44" s="655">
        <f t="shared" si="3"/>
        <v>92.047221777614297</v>
      </c>
    </row>
    <row r="45" spans="1:7" ht="28.5" customHeight="1">
      <c r="A45" s="637" t="s">
        <v>233</v>
      </c>
      <c r="B45" s="656" t="s">
        <v>260</v>
      </c>
      <c r="C45" s="617">
        <f>+'Specifikacija rashoda'!C39</f>
        <v>84648.639999999999</v>
      </c>
      <c r="D45" s="591">
        <f>+C45/C47*100</f>
        <v>1.042790132479074</v>
      </c>
      <c r="E45" s="617">
        <f>+'Specifikacija rashoda'!E39</f>
        <v>79412.86</v>
      </c>
      <c r="F45" s="591">
        <f>+E45/E47*100</f>
        <v>0.96706558708997536</v>
      </c>
      <c r="G45" s="657">
        <f t="shared" si="3"/>
        <v>93.814690938921174</v>
      </c>
    </row>
    <row r="46" spans="1:7" ht="28.5" hidden="1" customHeight="1">
      <c r="A46" s="637" t="s">
        <v>235</v>
      </c>
      <c r="B46" s="589" t="s">
        <v>276</v>
      </c>
      <c r="C46" s="658">
        <v>0</v>
      </c>
      <c r="D46" s="591"/>
      <c r="E46" s="658">
        <v>0</v>
      </c>
      <c r="F46" s="588"/>
      <c r="G46" s="592"/>
    </row>
    <row r="47" spans="1:7" ht="28.5" customHeight="1" thickBot="1">
      <c r="A47" s="659" t="s">
        <v>235</v>
      </c>
      <c r="B47" s="634" t="s">
        <v>277</v>
      </c>
      <c r="C47" s="635">
        <f>+C35+C45</f>
        <v>8117514.4799999995</v>
      </c>
      <c r="D47" s="636">
        <f>+D35+D45+D46</f>
        <v>100</v>
      </c>
      <c r="E47" s="635">
        <f>+E35+E45</f>
        <v>8211734.6600000011</v>
      </c>
      <c r="F47" s="636">
        <f>+F35+F45+F46</f>
        <v>100</v>
      </c>
      <c r="G47" s="636">
        <f>+E47/C47*100</f>
        <v>101.16070233360399</v>
      </c>
    </row>
    <row r="48" spans="1:7" ht="15" thickTop="1">
      <c r="A48" s="660"/>
      <c r="B48" s="661"/>
      <c r="C48" s="662"/>
      <c r="D48" s="663"/>
      <c r="E48" s="662"/>
      <c r="F48" s="664"/>
      <c r="G48" s="663"/>
    </row>
    <row r="49" spans="1:7" ht="14.25">
      <c r="A49" s="660"/>
      <c r="B49" s="665"/>
      <c r="C49" s="662"/>
      <c r="D49" s="663"/>
      <c r="E49" s="662"/>
      <c r="F49" s="664"/>
      <c r="G49" s="663"/>
    </row>
    <row r="50" spans="1:7" ht="14.25">
      <c r="A50" s="660"/>
      <c r="B50" s="665"/>
      <c r="C50" s="662"/>
      <c r="D50" s="663"/>
      <c r="E50" s="662"/>
      <c r="F50" s="664"/>
      <c r="G50" s="663"/>
    </row>
    <row r="51" spans="1:7" s="666" customFormat="1">
      <c r="C51" s="574"/>
      <c r="D51" s="667"/>
    </row>
    <row r="52" spans="1:7" s="209" customFormat="1">
      <c r="C52" s="569"/>
      <c r="D52" s="570"/>
    </row>
  </sheetData>
  <mergeCells count="2">
    <mergeCell ref="B6:B7"/>
    <mergeCell ref="B32:B33"/>
  </mergeCells>
  <pageMargins left="0.59055118110236227" right="0.51181102362204722" top="0.6692913385826772" bottom="0.47244094488188981" header="0.39370078740157483" footer="0.39370078740157483"/>
  <pageSetup paperSize="9" scale="79" firstPageNumber="3" orientation="portrait" useFirstPageNumber="1" r:id="rId1"/>
  <headerFooter alignWithMargins="0">
    <oddHeader>&amp;L___________&amp;C&amp;"Times New Roman,Uobičajeno"Vodoopskrba i odvodnja Zaprešić d.o.o. - Godišnji izvještaj za 2024. godinu&amp;R________</oddHeader>
    <oddFooter>&amp;L&amp;"Times New Roman,Uobičajeno"Vodoopskrba i odvodnja Zaprešić d.o.o.&amp;R&amp;"Times New Roman,Uobičajeno"14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2"/>
  <sheetViews>
    <sheetView view="pageBreakPreview" topLeftCell="A256" zoomScale="60" zoomScaleNormal="100" workbookViewId="0">
      <selection activeCell="A318" sqref="A318"/>
    </sheetView>
  </sheetViews>
  <sheetFormatPr defaultRowHeight="15"/>
  <cols>
    <col min="1" max="1" width="83.85546875" customWidth="1"/>
  </cols>
  <sheetData>
    <row r="172" ht="36" customHeight="1"/>
  </sheetData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rowBreaks count="2" manualBreakCount="2">
    <brk id="58" man="1"/>
    <brk id="17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3"/>
  <sheetViews>
    <sheetView tabSelected="1" view="pageBreakPreview" zoomScaleNormal="100" zoomScaleSheetLayoutView="100" workbookViewId="0">
      <selection activeCell="I12" sqref="I12"/>
    </sheetView>
  </sheetViews>
  <sheetFormatPr defaultRowHeight="12.75"/>
  <cols>
    <col min="1" max="1" width="18" style="1" customWidth="1"/>
    <col min="2" max="2" width="17.85546875" style="1" customWidth="1"/>
    <col min="3" max="3" width="12.42578125" style="1" customWidth="1"/>
    <col min="4" max="4" width="17.85546875" style="1" customWidth="1"/>
    <col min="5" max="6" width="12.42578125" style="1" customWidth="1"/>
    <col min="7" max="7" width="7" style="1" customWidth="1"/>
    <col min="8" max="16384" width="9.140625" style="1"/>
  </cols>
  <sheetData>
    <row r="3" spans="1:7" ht="15">
      <c r="A3" s="8" t="s">
        <v>4</v>
      </c>
      <c r="B3" s="9"/>
      <c r="C3" s="9"/>
      <c r="D3" s="9"/>
      <c r="E3" s="9"/>
      <c r="F3" s="9"/>
      <c r="G3" s="9"/>
    </row>
    <row r="4" spans="1:7" ht="15">
      <c r="A4" s="10"/>
      <c r="B4" s="9"/>
      <c r="C4" s="9"/>
      <c r="D4" s="9"/>
      <c r="E4" s="9"/>
      <c r="F4" s="9"/>
      <c r="G4" s="9"/>
    </row>
    <row r="5" spans="1:7" ht="15">
      <c r="A5" s="10" t="s">
        <v>11</v>
      </c>
      <c r="B5" s="9"/>
      <c r="C5" s="9"/>
      <c r="D5" s="9"/>
      <c r="E5" s="9"/>
      <c r="F5" s="9"/>
      <c r="G5" s="9"/>
    </row>
    <row r="6" spans="1:7" ht="15">
      <c r="A6" s="9"/>
      <c r="B6" s="9"/>
      <c r="C6" s="9"/>
      <c r="D6" s="9"/>
      <c r="E6" s="9"/>
      <c r="F6" s="9"/>
      <c r="G6" s="9"/>
    </row>
    <row r="7" spans="1:7" s="13" customFormat="1" ht="15">
      <c r="A7" s="677" t="s">
        <v>12</v>
      </c>
      <c r="B7" s="677"/>
      <c r="C7" s="677"/>
      <c r="D7" s="677"/>
      <c r="E7" s="677"/>
      <c r="F7" s="677"/>
      <c r="G7" s="12"/>
    </row>
    <row r="8" spans="1:7" s="14" customFormat="1" ht="15">
      <c r="A8" s="677"/>
      <c r="B8" s="677"/>
      <c r="C8" s="677"/>
      <c r="D8" s="677"/>
      <c r="E8" s="677"/>
      <c r="F8" s="677"/>
      <c r="G8" s="12"/>
    </row>
    <row r="9" spans="1:7" s="14" customFormat="1" ht="15">
      <c r="A9" s="677"/>
      <c r="B9" s="677"/>
      <c r="C9" s="677"/>
      <c r="D9" s="677"/>
      <c r="E9" s="677"/>
      <c r="F9" s="677"/>
      <c r="G9" s="12"/>
    </row>
    <row r="10" spans="1:7" s="14" customFormat="1" ht="15">
      <c r="A10" s="677"/>
      <c r="B10" s="677"/>
      <c r="C10" s="677"/>
      <c r="D10" s="677"/>
      <c r="E10" s="677"/>
      <c r="F10" s="677"/>
      <c r="G10" s="12"/>
    </row>
    <row r="11" spans="1:7" s="13" customFormat="1" ht="15">
      <c r="A11" s="16"/>
      <c r="B11" s="15"/>
      <c r="C11" s="15"/>
      <c r="D11" s="15"/>
      <c r="E11" s="15"/>
      <c r="F11" s="15"/>
      <c r="G11" s="15"/>
    </row>
    <row r="12" spans="1:7" s="13" customFormat="1" ht="15">
      <c r="A12" s="15"/>
      <c r="B12" s="15"/>
      <c r="C12" s="15"/>
      <c r="D12" s="15"/>
      <c r="E12" s="15"/>
      <c r="F12" s="15"/>
      <c r="G12" s="15"/>
    </row>
    <row r="13" spans="1:7" s="13" customFormat="1" ht="15">
      <c r="A13" s="15"/>
      <c r="B13" s="15"/>
      <c r="C13" s="15"/>
      <c r="D13" s="15"/>
      <c r="E13" s="15"/>
      <c r="F13" s="15"/>
      <c r="G13" s="15"/>
    </row>
    <row r="14" spans="1:7" s="13" customFormat="1" ht="15">
      <c r="A14" s="15" t="s">
        <v>13</v>
      </c>
      <c r="B14" s="15"/>
      <c r="C14" s="15"/>
      <c r="D14" s="15"/>
      <c r="E14" s="15"/>
      <c r="F14" s="15"/>
      <c r="G14" s="15"/>
    </row>
    <row r="15" spans="1:7" s="13" customFormat="1" ht="15">
      <c r="A15" s="15"/>
      <c r="B15" s="15"/>
      <c r="C15" s="15"/>
      <c r="D15" s="15"/>
      <c r="E15" s="15"/>
      <c r="F15" s="15"/>
      <c r="G15" s="15"/>
    </row>
    <row r="16" spans="1:7" s="13" customFormat="1" ht="14.25">
      <c r="A16" s="678" t="s">
        <v>14</v>
      </c>
      <c r="B16" s="681"/>
      <c r="C16" s="681"/>
      <c r="D16" s="681"/>
      <c r="E16" s="682"/>
      <c r="F16" s="678" t="s">
        <v>15</v>
      </c>
      <c r="G16" s="17"/>
    </row>
    <row r="17" spans="1:7" s="13" customFormat="1" ht="14.25">
      <c r="A17" s="679"/>
      <c r="B17" s="683" t="s">
        <v>16</v>
      </c>
      <c r="C17" s="18" t="s">
        <v>17</v>
      </c>
      <c r="D17" s="683" t="s">
        <v>18</v>
      </c>
      <c r="E17" s="18" t="s">
        <v>17</v>
      </c>
      <c r="F17" s="679"/>
      <c r="G17" s="19"/>
    </row>
    <row r="18" spans="1:7" s="13" customFormat="1" ht="15" thickBot="1">
      <c r="A18" s="680"/>
      <c r="B18" s="684"/>
      <c r="C18" s="20" t="s">
        <v>19</v>
      </c>
      <c r="D18" s="684"/>
      <c r="E18" s="20" t="s">
        <v>19</v>
      </c>
      <c r="F18" s="680"/>
      <c r="G18" s="19"/>
    </row>
    <row r="19" spans="1:7" s="13" customFormat="1" ht="15.75" thickTop="1">
      <c r="A19" s="22">
        <v>1</v>
      </c>
      <c r="B19" s="23">
        <v>2</v>
      </c>
      <c r="C19" s="22">
        <v>3</v>
      </c>
      <c r="D19" s="23">
        <v>4</v>
      </c>
      <c r="E19" s="23">
        <v>5</v>
      </c>
      <c r="F19" s="23">
        <v>6</v>
      </c>
      <c r="G19" s="24"/>
    </row>
    <row r="20" spans="1:7" s="30" customFormat="1" ht="15">
      <c r="A20" s="25" t="s">
        <v>20</v>
      </c>
      <c r="B20" s="26">
        <v>1</v>
      </c>
      <c r="C20" s="27">
        <f>B20/$B$28*100</f>
        <v>1.5384615384615385</v>
      </c>
      <c r="D20" s="26">
        <v>1</v>
      </c>
      <c r="E20" s="27">
        <f>D20/$D$28*100</f>
        <v>1.3333333333333335</v>
      </c>
      <c r="F20" s="28">
        <f t="shared" ref="F20:F28" si="0">+D20/B20*100</f>
        <v>100</v>
      </c>
      <c r="G20" s="29"/>
    </row>
    <row r="21" spans="1:7" s="30" customFormat="1" ht="15">
      <c r="A21" s="33" t="s">
        <v>21</v>
      </c>
      <c r="B21" s="34">
        <v>4</v>
      </c>
      <c r="C21" s="27">
        <f t="shared" ref="C21:C28" si="1">B21/$B$28*100</f>
        <v>6.1538461538461542</v>
      </c>
      <c r="D21" s="34">
        <v>10</v>
      </c>
      <c r="E21" s="35">
        <f t="shared" ref="E21:E28" si="2">D21/$D$28*100</f>
        <v>13.333333333333334</v>
      </c>
      <c r="F21" s="28">
        <f t="shared" si="0"/>
        <v>250</v>
      </c>
      <c r="G21" s="29"/>
    </row>
    <row r="22" spans="1:7" s="30" customFormat="1" ht="15">
      <c r="A22" s="37" t="s">
        <v>22</v>
      </c>
      <c r="B22" s="38">
        <v>5</v>
      </c>
      <c r="C22" s="27">
        <f t="shared" si="1"/>
        <v>7.6923076923076925</v>
      </c>
      <c r="D22" s="38">
        <v>5</v>
      </c>
      <c r="E22" s="35">
        <f t="shared" si="2"/>
        <v>6.666666666666667</v>
      </c>
      <c r="F22" s="39">
        <f t="shared" si="0"/>
        <v>100</v>
      </c>
      <c r="G22" s="29"/>
    </row>
    <row r="23" spans="1:7" s="30" customFormat="1" ht="15">
      <c r="A23" s="37" t="s">
        <v>23</v>
      </c>
      <c r="B23" s="38">
        <v>31</v>
      </c>
      <c r="C23" s="27">
        <f t="shared" si="1"/>
        <v>47.692307692307693</v>
      </c>
      <c r="D23" s="38">
        <v>35</v>
      </c>
      <c r="E23" s="35">
        <f t="shared" si="2"/>
        <v>46.666666666666664</v>
      </c>
      <c r="F23" s="39">
        <f t="shared" si="0"/>
        <v>112.90322580645163</v>
      </c>
      <c r="G23" s="29"/>
    </row>
    <row r="24" spans="1:7" s="30" customFormat="1" ht="15">
      <c r="A24" s="37" t="s">
        <v>24</v>
      </c>
      <c r="B24" s="38">
        <v>4</v>
      </c>
      <c r="C24" s="27">
        <f t="shared" si="1"/>
        <v>6.1538461538461542</v>
      </c>
      <c r="D24" s="38">
        <v>4</v>
      </c>
      <c r="E24" s="35">
        <f t="shared" si="2"/>
        <v>5.3333333333333339</v>
      </c>
      <c r="F24" s="39">
        <f t="shared" si="0"/>
        <v>100</v>
      </c>
      <c r="G24" s="29"/>
    </row>
    <row r="25" spans="1:7" s="30" customFormat="1" ht="15">
      <c r="A25" s="37" t="s">
        <v>25</v>
      </c>
      <c r="B25" s="38">
        <v>1</v>
      </c>
      <c r="C25" s="27">
        <f t="shared" si="1"/>
        <v>1.5384615384615385</v>
      </c>
      <c r="D25" s="38">
        <v>0</v>
      </c>
      <c r="E25" s="35">
        <f t="shared" si="2"/>
        <v>0</v>
      </c>
      <c r="F25" s="39">
        <f t="shared" si="0"/>
        <v>0</v>
      </c>
      <c r="G25" s="29"/>
    </row>
    <row r="26" spans="1:7" s="30" customFormat="1" ht="15">
      <c r="A26" s="37" t="s">
        <v>26</v>
      </c>
      <c r="B26" s="38">
        <v>15</v>
      </c>
      <c r="C26" s="27">
        <f t="shared" si="1"/>
        <v>23.076923076923077</v>
      </c>
      <c r="D26" s="38">
        <v>17</v>
      </c>
      <c r="E26" s="35">
        <f t="shared" si="2"/>
        <v>22.666666666666664</v>
      </c>
      <c r="F26" s="39">
        <f t="shared" si="0"/>
        <v>113.33333333333333</v>
      </c>
      <c r="G26" s="29"/>
    </row>
    <row r="27" spans="1:7" s="30" customFormat="1" ht="15">
      <c r="A27" s="40" t="s">
        <v>27</v>
      </c>
      <c r="B27" s="41">
        <f>3+1</f>
        <v>4</v>
      </c>
      <c r="C27" s="27">
        <f t="shared" si="1"/>
        <v>6.1538461538461542</v>
      </c>
      <c r="D27" s="41">
        <f>2+1</f>
        <v>3</v>
      </c>
      <c r="E27" s="42">
        <f t="shared" si="2"/>
        <v>4</v>
      </c>
      <c r="F27" s="39">
        <f t="shared" si="0"/>
        <v>75</v>
      </c>
      <c r="G27" s="29"/>
    </row>
    <row r="28" spans="1:7" s="49" customFormat="1" ht="15.75" thickBot="1">
      <c r="A28" s="43" t="s">
        <v>28</v>
      </c>
      <c r="B28" s="44">
        <f>SUM(B20:B27)</f>
        <v>65</v>
      </c>
      <c r="C28" s="45">
        <f t="shared" si="1"/>
        <v>100</v>
      </c>
      <c r="D28" s="44">
        <f>SUM(D20:D27)</f>
        <v>75</v>
      </c>
      <c r="E28" s="46">
        <f t="shared" si="2"/>
        <v>100</v>
      </c>
      <c r="F28" s="47">
        <f t="shared" si="0"/>
        <v>115.38461538461537</v>
      </c>
      <c r="G28" s="48"/>
    </row>
    <row r="29" spans="1:7" s="13" customFormat="1" ht="15.75" thickTop="1">
      <c r="A29" s="51"/>
      <c r="B29" s="51"/>
      <c r="C29" s="51"/>
      <c r="D29" s="51"/>
      <c r="E29" s="51"/>
      <c r="F29" s="51"/>
      <c r="G29" s="51"/>
    </row>
    <row r="30" spans="1:7" s="13" customFormat="1" ht="15">
      <c r="A30" s="51"/>
      <c r="B30" s="51"/>
      <c r="C30" s="51"/>
      <c r="D30" s="51"/>
      <c r="E30" s="51"/>
      <c r="F30" s="51"/>
      <c r="G30" s="51"/>
    </row>
    <row r="31" spans="1:7" s="13" customFormat="1" ht="15">
      <c r="A31" s="686" t="s">
        <v>29</v>
      </c>
      <c r="B31" s="686"/>
      <c r="C31" s="686"/>
      <c r="D31" s="686"/>
      <c r="E31" s="686"/>
      <c r="F31" s="686"/>
      <c r="G31" s="52"/>
    </row>
    <row r="32" spans="1:7" s="13" customFormat="1" ht="15">
      <c r="A32" s="686"/>
      <c r="B32" s="686"/>
      <c r="C32" s="686"/>
      <c r="D32" s="686"/>
      <c r="E32" s="686"/>
      <c r="F32" s="686"/>
      <c r="G32" s="52"/>
    </row>
    <row r="33" spans="1:7" s="14" customFormat="1" ht="15">
      <c r="A33" s="686"/>
      <c r="B33" s="686"/>
      <c r="C33" s="686"/>
      <c r="D33" s="686"/>
      <c r="E33" s="686"/>
      <c r="F33" s="686"/>
      <c r="G33" s="52"/>
    </row>
    <row r="34" spans="1:7" s="14" customFormat="1" ht="15">
      <c r="A34" s="52"/>
      <c r="B34" s="52"/>
      <c r="C34" s="52"/>
      <c r="D34" s="52"/>
      <c r="E34" s="52"/>
      <c r="F34" s="52"/>
      <c r="G34" s="52"/>
    </row>
    <row r="35" spans="1:7" s="14" customFormat="1" ht="15">
      <c r="A35" s="52"/>
      <c r="B35" s="52"/>
      <c r="C35" s="52"/>
      <c r="D35" s="52"/>
      <c r="E35" s="52"/>
      <c r="F35" s="52"/>
      <c r="G35" s="52"/>
    </row>
    <row r="36" spans="1:7" s="54" customFormat="1" ht="39.75" customHeight="1">
      <c r="A36" s="687" t="s">
        <v>30</v>
      </c>
      <c r="B36" s="687"/>
      <c r="C36" s="687"/>
      <c r="D36" s="687"/>
      <c r="E36" s="687"/>
      <c r="F36" s="687"/>
      <c r="G36" s="53"/>
    </row>
    <row r="37" spans="1:7" s="54" customFormat="1" ht="8.25" customHeight="1">
      <c r="A37" s="55"/>
      <c r="B37" s="55"/>
      <c r="C37" s="55"/>
      <c r="D37" s="55"/>
      <c r="E37" s="55"/>
      <c r="F37" s="55"/>
      <c r="G37" s="53"/>
    </row>
    <row r="38" spans="1:7" s="57" customFormat="1" ht="45" customHeight="1">
      <c r="A38" s="687" t="s">
        <v>31</v>
      </c>
      <c r="B38" s="687"/>
      <c r="C38" s="687"/>
      <c r="D38" s="687"/>
      <c r="E38" s="687"/>
      <c r="F38" s="687"/>
      <c r="G38" s="56"/>
    </row>
    <row r="39" spans="1:7" s="54" customFormat="1" ht="15">
      <c r="A39" s="687"/>
      <c r="B39" s="687"/>
      <c r="C39" s="687"/>
      <c r="D39" s="687"/>
      <c r="E39" s="687"/>
      <c r="F39" s="687"/>
      <c r="G39" s="53"/>
    </row>
    <row r="40" spans="1:7" s="54" customFormat="1" ht="37.5" customHeight="1">
      <c r="A40" s="687" t="s">
        <v>32</v>
      </c>
      <c r="B40" s="687"/>
      <c r="C40" s="687"/>
      <c r="D40" s="687"/>
      <c r="E40" s="687"/>
      <c r="F40" s="687"/>
      <c r="G40" s="53"/>
    </row>
    <row r="41" spans="1:7" s="54" customFormat="1" ht="15">
      <c r="A41" s="55"/>
      <c r="B41" s="55"/>
      <c r="C41" s="55"/>
      <c r="D41" s="55"/>
      <c r="E41" s="55"/>
      <c r="F41" s="55"/>
      <c r="G41" s="53"/>
    </row>
    <row r="42" spans="1:7">
      <c r="A42" s="58"/>
      <c r="B42" s="59"/>
      <c r="C42" s="59"/>
      <c r="D42" s="59"/>
      <c r="E42" s="59"/>
      <c r="F42" s="59"/>
      <c r="G42" s="59"/>
    </row>
    <row r="43" spans="1:7" ht="35.25" customHeight="1">
      <c r="A43" s="685" t="s">
        <v>33</v>
      </c>
      <c r="B43" s="685"/>
      <c r="C43" s="685"/>
      <c r="D43" s="685"/>
      <c r="E43" s="685"/>
      <c r="F43" s="685"/>
    </row>
    <row r="44" spans="1:7" ht="9" customHeight="1">
      <c r="A44" s="61"/>
      <c r="B44" s="61"/>
      <c r="C44" s="61"/>
      <c r="D44" s="61"/>
      <c r="E44" s="61"/>
      <c r="F44" s="61"/>
    </row>
    <row r="45" spans="1:7" ht="31.5" customHeight="1">
      <c r="A45" s="685" t="s">
        <v>34</v>
      </c>
      <c r="B45" s="685"/>
      <c r="C45" s="685"/>
      <c r="D45" s="685"/>
      <c r="E45" s="685"/>
      <c r="F45" s="685"/>
    </row>
    <row r="48" spans="1:7" ht="15.75" customHeight="1"/>
    <row r="53" spans="1:7">
      <c r="A53" s="62"/>
      <c r="B53" s="62"/>
      <c r="C53" s="62"/>
      <c r="D53" s="62"/>
      <c r="E53" s="62"/>
      <c r="F53" s="62"/>
      <c r="G53" s="62"/>
    </row>
  </sheetData>
  <mergeCells count="13">
    <mergeCell ref="A45:F45"/>
    <mergeCell ref="A31:F33"/>
    <mergeCell ref="A36:F36"/>
    <mergeCell ref="A38:F38"/>
    <mergeCell ref="A39:F39"/>
    <mergeCell ref="A40:F40"/>
    <mergeCell ref="A43:F43"/>
    <mergeCell ref="A7:F10"/>
    <mergeCell ref="A16:A18"/>
    <mergeCell ref="B16:E16"/>
    <mergeCell ref="F16:F18"/>
    <mergeCell ref="B17:B18"/>
    <mergeCell ref="D17:D18"/>
  </mergeCells>
  <pageMargins left="0.70866141732283472" right="0.39370078740157483" top="0.47244094488188981" bottom="0.47244094488188981" header="0.39370078740157483" footer="0.39370078740157483"/>
  <pageSetup paperSize="9" scale="90" orientation="portrait" r:id="rId1"/>
  <headerFooter alignWithMargins="0">
    <oddHeader>&amp;L_______________&amp;C&amp;"Times New Roman,Uobičajeno"Vodoopskrba i odvodnja Zaprešić d.o.o. - Godišnji izvještaj za 2024. godinu&amp;R______________</oddHeader>
    <oddFooter>&amp;L&amp;"Times New Roman,Uobičajeno"Vodoopskrba i odvodnja Zaprešić d.o.o.&amp;R&amp;"Times New Roman,Uobičajeno"7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"/>
  <sheetViews>
    <sheetView view="pageBreakPreview" zoomScaleNormal="100" zoomScaleSheetLayoutView="100" workbookViewId="0">
      <selection activeCell="A17" sqref="A17:I19"/>
    </sheetView>
  </sheetViews>
  <sheetFormatPr defaultRowHeight="12.75"/>
  <cols>
    <col min="1" max="1" width="23.28515625" style="1" customWidth="1"/>
    <col min="2" max="5" width="11.28515625" style="1" customWidth="1"/>
    <col min="6" max="6" width="5.42578125" style="141" customWidth="1"/>
    <col min="7" max="7" width="5.42578125" style="1" customWidth="1"/>
    <col min="8" max="9" width="5.85546875" style="1" customWidth="1"/>
    <col min="10" max="10" width="6.85546875" style="60" customWidth="1"/>
    <col min="11" max="16384" width="9.140625" style="1"/>
  </cols>
  <sheetData>
    <row r="3" spans="1:10" s="64" customFormat="1" ht="15" customHeight="1">
      <c r="A3" s="15" t="s">
        <v>37</v>
      </c>
      <c r="B3" s="15"/>
      <c r="C3" s="15"/>
      <c r="D3" s="15"/>
      <c r="E3" s="15"/>
      <c r="F3" s="63"/>
      <c r="J3" s="21"/>
    </row>
    <row r="4" spans="1:10" s="13" customFormat="1" ht="10.5" customHeight="1">
      <c r="A4" s="65"/>
      <c r="B4" s="15"/>
      <c r="C4" s="15"/>
      <c r="D4" s="15"/>
      <c r="E4" s="15"/>
      <c r="F4" s="66"/>
      <c r="G4" s="15"/>
      <c r="H4" s="15"/>
      <c r="I4" s="51"/>
      <c r="J4" s="21"/>
    </row>
    <row r="5" spans="1:10" s="13" customFormat="1" ht="15">
      <c r="A5" s="67" t="s">
        <v>38</v>
      </c>
      <c r="B5" s="68"/>
      <c r="C5" s="68"/>
      <c r="D5" s="69"/>
      <c r="E5" s="69"/>
      <c r="F5" s="70"/>
      <c r="G5" s="69"/>
      <c r="H5" s="51"/>
      <c r="J5" s="21"/>
    </row>
    <row r="6" spans="1:10" s="74" customFormat="1" ht="29.25" customHeight="1" thickBot="1">
      <c r="A6" s="688" t="s">
        <v>39</v>
      </c>
      <c r="B6" s="689"/>
      <c r="C6" s="71" t="s">
        <v>16</v>
      </c>
      <c r="D6" s="72" t="s">
        <v>40</v>
      </c>
      <c r="E6" s="71" t="s">
        <v>41</v>
      </c>
      <c r="F6" s="690" t="s">
        <v>42</v>
      </c>
      <c r="G6" s="690"/>
      <c r="H6" s="690" t="s">
        <v>43</v>
      </c>
      <c r="I6" s="690"/>
      <c r="J6" s="73"/>
    </row>
    <row r="7" spans="1:10" s="78" customFormat="1" ht="12" customHeight="1" thickTop="1">
      <c r="A7" s="691">
        <v>1</v>
      </c>
      <c r="B7" s="692"/>
      <c r="C7" s="75">
        <v>2</v>
      </c>
      <c r="D7" s="76">
        <v>3</v>
      </c>
      <c r="E7" s="76">
        <v>4</v>
      </c>
      <c r="F7" s="693">
        <v>5</v>
      </c>
      <c r="G7" s="693"/>
      <c r="H7" s="693">
        <v>6</v>
      </c>
      <c r="I7" s="693"/>
      <c r="J7" s="77"/>
    </row>
    <row r="8" spans="1:10" s="74" customFormat="1" ht="16.5" customHeight="1">
      <c r="A8" s="79" t="s">
        <v>44</v>
      </c>
      <c r="B8" s="80"/>
      <c r="C8" s="81">
        <f>SUM(C9:C10)</f>
        <v>4</v>
      </c>
      <c r="D8" s="82">
        <v>5</v>
      </c>
      <c r="E8" s="83">
        <f>+E9+E10</f>
        <v>4</v>
      </c>
      <c r="F8" s="694">
        <f t="shared" ref="F8:F13" si="0">+E8/C8*100</f>
        <v>100</v>
      </c>
      <c r="G8" s="694"/>
      <c r="H8" s="694">
        <f t="shared" ref="H8:H13" si="1">+E8/D8*100</f>
        <v>80</v>
      </c>
      <c r="I8" s="694"/>
      <c r="J8" s="84"/>
    </row>
    <row r="9" spans="1:10" s="74" customFormat="1" ht="16.5" customHeight="1">
      <c r="A9" s="79" t="s">
        <v>45</v>
      </c>
      <c r="B9" s="80"/>
      <c r="C9" s="81">
        <v>2</v>
      </c>
      <c r="D9" s="82">
        <v>2</v>
      </c>
      <c r="E9" s="81">
        <v>2</v>
      </c>
      <c r="F9" s="695">
        <f t="shared" si="0"/>
        <v>100</v>
      </c>
      <c r="G9" s="695"/>
      <c r="H9" s="696">
        <f t="shared" si="1"/>
        <v>100</v>
      </c>
      <c r="I9" s="696"/>
      <c r="J9" s="84"/>
    </row>
    <row r="10" spans="1:10" s="74" customFormat="1" ht="16.5" customHeight="1">
      <c r="A10" s="79" t="s">
        <v>46</v>
      </c>
      <c r="B10" s="80"/>
      <c r="C10" s="81">
        <v>2</v>
      </c>
      <c r="D10" s="82">
        <v>2</v>
      </c>
      <c r="E10" s="81">
        <v>2</v>
      </c>
      <c r="F10" s="695">
        <f t="shared" si="0"/>
        <v>100</v>
      </c>
      <c r="G10" s="695"/>
      <c r="H10" s="695">
        <f t="shared" si="1"/>
        <v>100</v>
      </c>
      <c r="I10" s="695"/>
      <c r="J10" s="85"/>
    </row>
    <row r="11" spans="1:10" s="74" customFormat="1" ht="15" customHeight="1">
      <c r="A11" s="86" t="s">
        <v>47</v>
      </c>
      <c r="B11" s="87"/>
      <c r="C11" s="88">
        <f>7+19+1+9</f>
        <v>36</v>
      </c>
      <c r="D11" s="89">
        <v>40</v>
      </c>
      <c r="E11" s="81">
        <v>38</v>
      </c>
      <c r="F11" s="695">
        <f t="shared" si="0"/>
        <v>105.55555555555556</v>
      </c>
      <c r="G11" s="695"/>
      <c r="H11" s="695">
        <f t="shared" si="1"/>
        <v>95</v>
      </c>
      <c r="I11" s="695"/>
      <c r="J11" s="85"/>
    </row>
    <row r="12" spans="1:10" s="74" customFormat="1" ht="15.75" customHeight="1">
      <c r="A12" s="90" t="s">
        <v>48</v>
      </c>
      <c r="B12" s="87"/>
      <c r="C12" s="88">
        <f>1+11+6</f>
        <v>18</v>
      </c>
      <c r="D12" s="89">
        <v>19</v>
      </c>
      <c r="E12" s="81">
        <v>21</v>
      </c>
      <c r="F12" s="695">
        <f t="shared" si="0"/>
        <v>116.66666666666667</v>
      </c>
      <c r="G12" s="695"/>
      <c r="H12" s="695">
        <f t="shared" si="1"/>
        <v>110.5263157894737</v>
      </c>
      <c r="I12" s="695"/>
      <c r="J12" s="85"/>
    </row>
    <row r="13" spans="1:10" s="74" customFormat="1" ht="15.75" customHeight="1">
      <c r="A13" s="90" t="s">
        <v>49</v>
      </c>
      <c r="B13" s="91"/>
      <c r="C13" s="88">
        <v>6</v>
      </c>
      <c r="D13" s="89">
        <v>8</v>
      </c>
      <c r="E13" s="81">
        <v>7</v>
      </c>
      <c r="F13" s="695">
        <f t="shared" si="0"/>
        <v>116.66666666666667</v>
      </c>
      <c r="G13" s="695"/>
      <c r="H13" s="695">
        <f t="shared" si="1"/>
        <v>87.5</v>
      </c>
      <c r="I13" s="695"/>
      <c r="J13" s="85"/>
    </row>
    <row r="14" spans="1:10" s="74" customFormat="1" ht="15.75" customHeight="1">
      <c r="A14" s="92" t="s">
        <v>50</v>
      </c>
      <c r="B14" s="91"/>
      <c r="C14" s="93">
        <v>1</v>
      </c>
      <c r="D14" s="94">
        <v>1</v>
      </c>
      <c r="E14" s="95">
        <v>5</v>
      </c>
      <c r="F14" s="698">
        <f>E14/C14</f>
        <v>5</v>
      </c>
      <c r="G14" s="698"/>
      <c r="H14" s="698">
        <f>E14/D14</f>
        <v>5</v>
      </c>
      <c r="I14" s="698"/>
      <c r="J14" s="85"/>
    </row>
    <row r="15" spans="1:10" s="74" customFormat="1" ht="15.75" thickBot="1">
      <c r="A15" s="96" t="s">
        <v>51</v>
      </c>
      <c r="B15" s="97"/>
      <c r="C15" s="98">
        <f>SUM(C9:C14)</f>
        <v>65</v>
      </c>
      <c r="D15" s="99">
        <f>SUM(D9:D14)</f>
        <v>72</v>
      </c>
      <c r="E15" s="98">
        <f>SUM(E9:E14)</f>
        <v>75</v>
      </c>
      <c r="F15" s="699">
        <f>+E15/C15*100</f>
        <v>115.38461538461537</v>
      </c>
      <c r="G15" s="700"/>
      <c r="H15" s="700">
        <f>+E15/D15*100</f>
        <v>104.16666666666667</v>
      </c>
      <c r="I15" s="700"/>
      <c r="J15" s="85"/>
    </row>
    <row r="16" spans="1:10" s="13" customFormat="1" ht="9" customHeight="1" thickTop="1">
      <c r="A16" s="100"/>
      <c r="B16" s="100"/>
      <c r="C16" s="100"/>
      <c r="D16" s="100"/>
      <c r="E16" s="100"/>
      <c r="F16" s="101"/>
      <c r="G16" s="100"/>
      <c r="H16" s="100"/>
      <c r="I16" s="102"/>
      <c r="J16" s="85"/>
    </row>
    <row r="17" spans="1:10" s="14" customFormat="1" ht="15" customHeight="1">
      <c r="A17" s="701" t="s">
        <v>52</v>
      </c>
      <c r="B17" s="701"/>
      <c r="C17" s="701"/>
      <c r="D17" s="701"/>
      <c r="E17" s="701"/>
      <c r="F17" s="701"/>
      <c r="G17" s="701"/>
      <c r="H17" s="701"/>
      <c r="I17" s="701"/>
      <c r="J17" s="103"/>
    </row>
    <row r="18" spans="1:10" s="104" customFormat="1" ht="13.5" customHeight="1">
      <c r="A18" s="701"/>
      <c r="B18" s="701"/>
      <c r="C18" s="701"/>
      <c r="D18" s="701"/>
      <c r="E18" s="701"/>
      <c r="F18" s="701"/>
      <c r="G18" s="701"/>
      <c r="H18" s="701"/>
      <c r="I18" s="701"/>
      <c r="J18" s="103"/>
    </row>
    <row r="19" spans="1:10" s="14" customFormat="1" ht="54.75" customHeight="1">
      <c r="A19" s="701"/>
      <c r="B19" s="701"/>
      <c r="C19" s="701"/>
      <c r="D19" s="701"/>
      <c r="E19" s="701"/>
      <c r="F19" s="701"/>
      <c r="G19" s="701"/>
      <c r="H19" s="701"/>
      <c r="I19" s="701"/>
      <c r="J19" s="103"/>
    </row>
    <row r="20" spans="1:10" s="13" customFormat="1" ht="15">
      <c r="A20" s="15" t="s">
        <v>53</v>
      </c>
      <c r="B20" s="105"/>
      <c r="C20" s="106"/>
      <c r="D20" s="106"/>
      <c r="E20" s="106"/>
      <c r="F20" s="107"/>
      <c r="G20" s="108"/>
      <c r="J20" s="32"/>
    </row>
    <row r="21" spans="1:10" s="13" customFormat="1" ht="15">
      <c r="F21" s="109"/>
      <c r="J21" s="32"/>
    </row>
    <row r="22" spans="1:10" s="111" customFormat="1" ht="15">
      <c r="A22" s="110" t="s">
        <v>54</v>
      </c>
      <c r="B22" s="69"/>
      <c r="C22" s="69"/>
      <c r="D22" s="69"/>
      <c r="E22" s="69"/>
      <c r="F22" s="70"/>
      <c r="G22" s="14"/>
      <c r="J22" s="32"/>
    </row>
    <row r="23" spans="1:10" s="111" customFormat="1" ht="15" customHeight="1">
      <c r="A23" s="112"/>
      <c r="B23" s="697" t="s">
        <v>55</v>
      </c>
      <c r="C23" s="697"/>
      <c r="D23" s="697"/>
      <c r="E23" s="697"/>
      <c r="F23" s="697"/>
      <c r="G23" s="697"/>
      <c r="H23" s="697"/>
      <c r="I23" s="697"/>
      <c r="J23" s="32"/>
    </row>
    <row r="24" spans="1:10" s="111" customFormat="1" ht="15" customHeight="1">
      <c r="A24" s="113" t="s">
        <v>56</v>
      </c>
      <c r="B24" s="114" t="s">
        <v>28</v>
      </c>
      <c r="C24" s="115" t="s">
        <v>57</v>
      </c>
      <c r="D24" s="116" t="s">
        <v>58</v>
      </c>
      <c r="E24" s="116" t="s">
        <v>59</v>
      </c>
      <c r="F24" s="702" t="s">
        <v>60</v>
      </c>
      <c r="G24" s="702"/>
      <c r="H24" s="703" t="s">
        <v>61</v>
      </c>
      <c r="I24" s="703"/>
      <c r="J24" s="32"/>
    </row>
    <row r="25" spans="1:10" s="121" customFormat="1" ht="13.5" customHeight="1">
      <c r="A25" s="117" t="s">
        <v>62</v>
      </c>
      <c r="B25" s="118">
        <v>2</v>
      </c>
      <c r="C25" s="118">
        <v>3</v>
      </c>
      <c r="D25" s="119">
        <v>4</v>
      </c>
      <c r="E25" s="119">
        <v>5</v>
      </c>
      <c r="F25" s="704">
        <v>6</v>
      </c>
      <c r="G25" s="704"/>
      <c r="H25" s="705">
        <v>7</v>
      </c>
      <c r="I25" s="705"/>
      <c r="J25" s="120"/>
    </row>
    <row r="26" spans="1:10" s="111" customFormat="1" ht="15.75" thickBot="1">
      <c r="A26" s="122" t="s">
        <v>28</v>
      </c>
      <c r="B26" s="123">
        <f>SUM(C26:H26)</f>
        <v>75</v>
      </c>
      <c r="C26" s="124">
        <v>7</v>
      </c>
      <c r="D26" s="125">
        <f>4+7</f>
        <v>11</v>
      </c>
      <c r="E26" s="125">
        <f>8+9</f>
        <v>17</v>
      </c>
      <c r="F26" s="706">
        <f>19+8</f>
        <v>27</v>
      </c>
      <c r="G26" s="706"/>
      <c r="H26" s="707">
        <f>7+6</f>
        <v>13</v>
      </c>
      <c r="I26" s="707"/>
      <c r="J26" s="32"/>
    </row>
    <row r="27" spans="1:10" s="111" customFormat="1" ht="18" customHeight="1" thickTop="1">
      <c r="A27" s="126" t="s">
        <v>63</v>
      </c>
      <c r="B27" s="127">
        <f>SUM(C27:H27)</f>
        <v>100</v>
      </c>
      <c r="C27" s="127">
        <f>C26/B26*100</f>
        <v>9.3333333333333339</v>
      </c>
      <c r="D27" s="128">
        <f>D26/B26*100</f>
        <v>14.666666666666666</v>
      </c>
      <c r="E27" s="128">
        <f>E26/B26*100</f>
        <v>22.666666666666664</v>
      </c>
      <c r="F27" s="708">
        <f>F26/B26*100</f>
        <v>36</v>
      </c>
      <c r="G27" s="708"/>
      <c r="H27" s="709">
        <f>H26/B26*100</f>
        <v>17.333333333333336</v>
      </c>
      <c r="I27" s="709"/>
      <c r="J27" s="32"/>
    </row>
    <row r="28" spans="1:10" s="111" customFormat="1" ht="15">
      <c r="A28" s="110"/>
      <c r="B28" s="69"/>
      <c r="C28" s="69"/>
      <c r="D28" s="69"/>
      <c r="E28" s="69"/>
      <c r="F28" s="70"/>
      <c r="G28" s="14"/>
      <c r="I28" s="13"/>
      <c r="J28" s="21"/>
    </row>
    <row r="29" spans="1:10" s="111" customFormat="1" ht="41.25" customHeight="1">
      <c r="A29" s="710" t="s">
        <v>64</v>
      </c>
      <c r="B29" s="710"/>
      <c r="C29" s="710"/>
      <c r="D29" s="710"/>
      <c r="E29" s="710"/>
      <c r="F29" s="710"/>
      <c r="G29" s="710"/>
      <c r="H29" s="710"/>
      <c r="I29" s="710"/>
      <c r="J29" s="21"/>
    </row>
    <row r="30" spans="1:10" s="30" customFormat="1" ht="15.75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32"/>
    </row>
    <row r="31" spans="1:10" s="31" customFormat="1" ht="15">
      <c r="A31" s="36" t="s">
        <v>65</v>
      </c>
      <c r="F31" s="130"/>
      <c r="J31" s="32"/>
    </row>
    <row r="32" spans="1:10" s="31" customFormat="1" ht="15">
      <c r="A32" s="65" t="s">
        <v>66</v>
      </c>
      <c r="F32" s="130"/>
      <c r="J32" s="32"/>
    </row>
    <row r="33" spans="1:10" s="31" customFormat="1" ht="17.25" customHeight="1">
      <c r="A33" s="711" t="s">
        <v>67</v>
      </c>
      <c r="B33" s="713" t="s">
        <v>68</v>
      </c>
      <c r="C33" s="714"/>
      <c r="D33" s="713" t="s">
        <v>69</v>
      </c>
      <c r="E33" s="714"/>
      <c r="F33" s="130"/>
      <c r="J33" s="32"/>
    </row>
    <row r="34" spans="1:10" s="31" customFormat="1" ht="17.25" customHeight="1" thickBot="1">
      <c r="A34" s="712"/>
      <c r="B34" s="715" t="s">
        <v>70</v>
      </c>
      <c r="C34" s="716"/>
      <c r="D34" s="715" t="s">
        <v>70</v>
      </c>
      <c r="E34" s="716"/>
      <c r="F34" s="130"/>
      <c r="J34" s="32"/>
    </row>
    <row r="35" spans="1:10" s="133" customFormat="1" ht="13.5" customHeight="1" thickTop="1">
      <c r="A35" s="131">
        <v>1</v>
      </c>
      <c r="B35" s="717">
        <v>2</v>
      </c>
      <c r="C35" s="718"/>
      <c r="D35" s="717">
        <v>3</v>
      </c>
      <c r="E35" s="718"/>
      <c r="F35" s="132"/>
      <c r="J35" s="120"/>
    </row>
    <row r="36" spans="1:10" s="31" customFormat="1" ht="17.25" customHeight="1">
      <c r="A36" s="25" t="s">
        <v>71</v>
      </c>
      <c r="B36" s="719">
        <v>6</v>
      </c>
      <c r="C36" s="720"/>
      <c r="D36" s="719">
        <v>29</v>
      </c>
      <c r="E36" s="720"/>
      <c r="F36" s="130"/>
      <c r="J36" s="32"/>
    </row>
    <row r="37" spans="1:10" s="31" customFormat="1" ht="15.75" customHeight="1">
      <c r="A37" s="33" t="s">
        <v>21</v>
      </c>
      <c r="B37" s="721">
        <v>14</v>
      </c>
      <c r="C37" s="722"/>
      <c r="D37" s="721">
        <v>37</v>
      </c>
      <c r="E37" s="722"/>
      <c r="F37" s="130"/>
      <c r="J37" s="32"/>
    </row>
    <row r="38" spans="1:10" s="31" customFormat="1" ht="15.75" customHeight="1">
      <c r="A38" s="37" t="s">
        <v>22</v>
      </c>
      <c r="B38" s="721">
        <v>19</v>
      </c>
      <c r="C38" s="722"/>
      <c r="D38" s="721">
        <v>43</v>
      </c>
      <c r="E38" s="722"/>
      <c r="F38" s="130"/>
      <c r="J38" s="32"/>
    </row>
    <row r="39" spans="1:10" s="31" customFormat="1" ht="15.75" customHeight="1">
      <c r="A39" s="37" t="s">
        <v>23</v>
      </c>
      <c r="B39" s="721">
        <v>25</v>
      </c>
      <c r="C39" s="722"/>
      <c r="D39" s="721">
        <v>46</v>
      </c>
      <c r="E39" s="722"/>
      <c r="F39" s="130"/>
      <c r="J39" s="32"/>
    </row>
    <row r="40" spans="1:10" s="31" customFormat="1" ht="15.75" customHeight="1">
      <c r="A40" s="37" t="s">
        <v>24</v>
      </c>
      <c r="B40" s="721">
        <v>36</v>
      </c>
      <c r="C40" s="722"/>
      <c r="D40" s="721">
        <v>59</v>
      </c>
      <c r="E40" s="722"/>
      <c r="F40" s="130"/>
      <c r="J40" s="32"/>
    </row>
    <row r="41" spans="1:10" s="31" customFormat="1" ht="15.75" customHeight="1">
      <c r="A41" s="37" t="s">
        <v>25</v>
      </c>
      <c r="B41" s="721">
        <v>0</v>
      </c>
      <c r="C41" s="722"/>
      <c r="D41" s="721">
        <v>0</v>
      </c>
      <c r="E41" s="722"/>
      <c r="F41" s="130"/>
      <c r="J41" s="32"/>
    </row>
    <row r="42" spans="1:10" s="31" customFormat="1" ht="15.75" customHeight="1">
      <c r="A42" s="37" t="s">
        <v>26</v>
      </c>
      <c r="B42" s="721">
        <v>18</v>
      </c>
      <c r="C42" s="722"/>
      <c r="D42" s="721">
        <v>38</v>
      </c>
      <c r="E42" s="722"/>
      <c r="F42" s="130"/>
      <c r="J42" s="32"/>
    </row>
    <row r="43" spans="1:10" s="31" customFormat="1" ht="15.75" customHeight="1">
      <c r="A43" s="40" t="s">
        <v>27</v>
      </c>
      <c r="B43" s="726">
        <v>20</v>
      </c>
      <c r="C43" s="727"/>
      <c r="D43" s="726">
        <v>42</v>
      </c>
      <c r="E43" s="727"/>
      <c r="F43" s="130"/>
      <c r="J43" s="32"/>
    </row>
    <row r="44" spans="1:10" s="31" customFormat="1" ht="16.5" customHeight="1" thickBot="1">
      <c r="A44" s="134" t="s">
        <v>28</v>
      </c>
      <c r="B44" s="723">
        <v>22</v>
      </c>
      <c r="C44" s="724"/>
      <c r="D44" s="723">
        <v>43</v>
      </c>
      <c r="E44" s="724"/>
      <c r="F44" s="130"/>
      <c r="J44" s="32"/>
    </row>
    <row r="45" spans="1:10" s="31" customFormat="1" ht="15.75" thickTop="1">
      <c r="A45" s="135"/>
      <c r="B45" s="136"/>
      <c r="C45" s="136"/>
      <c r="F45" s="130"/>
      <c r="J45" s="32"/>
    </row>
    <row r="46" spans="1:10" s="31" customFormat="1" ht="15">
      <c r="A46" s="725" t="s">
        <v>72</v>
      </c>
      <c r="B46" s="725"/>
      <c r="C46" s="725"/>
      <c r="D46" s="725"/>
      <c r="E46" s="725"/>
      <c r="F46" s="725"/>
      <c r="J46" s="32"/>
    </row>
    <row r="47" spans="1:10" s="31" customFormat="1" ht="15">
      <c r="A47" s="137"/>
      <c r="B47" s="137"/>
      <c r="C47" s="137"/>
      <c r="D47" s="137"/>
      <c r="E47" s="137"/>
      <c r="F47" s="137"/>
      <c r="J47" s="32"/>
    </row>
    <row r="48" spans="1:10" s="31" customFormat="1" ht="15">
      <c r="A48" s="137"/>
      <c r="B48" s="137"/>
      <c r="C48" s="137"/>
      <c r="D48" s="137"/>
      <c r="E48" s="137"/>
      <c r="F48" s="137"/>
      <c r="J48" s="32"/>
    </row>
    <row r="49" spans="1:10" s="31" customFormat="1" ht="15">
      <c r="A49" s="137"/>
      <c r="B49" s="137"/>
      <c r="C49" s="137"/>
      <c r="D49" s="137"/>
      <c r="E49" s="137"/>
      <c r="F49" s="137"/>
      <c r="J49" s="32"/>
    </row>
    <row r="50" spans="1:10" s="31" customFormat="1" ht="15">
      <c r="A50" s="137"/>
      <c r="B50" s="137"/>
      <c r="C50" s="137"/>
      <c r="D50" s="137"/>
      <c r="E50" s="137"/>
      <c r="F50" s="137"/>
      <c r="J50" s="32"/>
    </row>
    <row r="51" spans="1:10" s="31" customFormat="1" ht="15">
      <c r="A51" s="137"/>
      <c r="B51" s="137"/>
      <c r="C51" s="137"/>
      <c r="D51" s="137"/>
      <c r="E51" s="137"/>
      <c r="F51" s="137"/>
      <c r="J51" s="32"/>
    </row>
    <row r="52" spans="1:10" s="13" customFormat="1" ht="15">
      <c r="A52" s="138"/>
      <c r="B52" s="138"/>
      <c r="C52" s="138"/>
      <c r="D52" s="138"/>
      <c r="E52" s="138"/>
      <c r="F52" s="139"/>
      <c r="G52" s="138"/>
      <c r="H52" s="138"/>
      <c r="I52" s="138"/>
      <c r="J52" s="21"/>
    </row>
    <row r="53" spans="1:10" s="13" customFormat="1" ht="15">
      <c r="F53" s="109"/>
      <c r="J53" s="140"/>
    </row>
    <row r="54" spans="1:10" s="13" customFormat="1" ht="15">
      <c r="F54" s="109"/>
      <c r="J54" s="21"/>
    </row>
  </sheetData>
  <mergeCells count="59">
    <mergeCell ref="B44:C44"/>
    <mergeCell ref="D44:E44"/>
    <mergeCell ref="A46:F46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F27:G27"/>
    <mergeCell ref="H27:I27"/>
    <mergeCell ref="A29:I29"/>
    <mergeCell ref="A33:A34"/>
    <mergeCell ref="B33:C33"/>
    <mergeCell ref="D33:E33"/>
    <mergeCell ref="B34:C34"/>
    <mergeCell ref="D34:E34"/>
    <mergeCell ref="F24:G24"/>
    <mergeCell ref="H24:I24"/>
    <mergeCell ref="F25:G25"/>
    <mergeCell ref="H25:I25"/>
    <mergeCell ref="F26:G26"/>
    <mergeCell ref="H26:I26"/>
    <mergeCell ref="B23:I23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A17:I19"/>
    <mergeCell ref="F8:G8"/>
    <mergeCell ref="H8:I8"/>
    <mergeCell ref="F9:G9"/>
    <mergeCell ref="H9:I9"/>
    <mergeCell ref="F10:G10"/>
    <mergeCell ref="H10:I10"/>
    <mergeCell ref="A6:B6"/>
    <mergeCell ref="F6:G6"/>
    <mergeCell ref="H6:I6"/>
    <mergeCell ref="A7:B7"/>
    <mergeCell ref="F7:G7"/>
    <mergeCell ref="H7:I7"/>
  </mergeCells>
  <pageMargins left="0.70866141732283472" right="0.39370078740157483" top="0.47244094488188981" bottom="0.47244094488188981" header="0.39370078740157483" footer="0.39370078740157483"/>
  <pageSetup paperSize="9" scale="90" orientation="portrait" r:id="rId1"/>
  <headerFooter alignWithMargins="0">
    <oddHeader>&amp;L_______________&amp;C&amp;"Times New Roman,Uobičajeno"Vodoopskrba i odvodnja Zaprešić d.o.o. - Godišnji izvještaj za 2024. godinu&amp;R______________</oddHeader>
    <oddFooter>&amp;L&amp;"Times New Roman,Uobičajeno"Vodoopskrba i odvodnja Zaprešić d.o.o.&amp;R&amp;"Times New Roman,Uobičajeno"8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3"/>
  <sheetViews>
    <sheetView view="pageBreakPreview" zoomScale="85" zoomScaleNormal="130" zoomScaleSheetLayoutView="85" workbookViewId="0">
      <selection activeCell="F23" sqref="F23"/>
    </sheetView>
  </sheetViews>
  <sheetFormatPr defaultRowHeight="15.75"/>
  <cols>
    <col min="1" max="1" width="11.42578125" style="142" customWidth="1"/>
    <col min="2" max="2" width="10" style="147" customWidth="1"/>
    <col min="3" max="3" width="38.42578125" style="147" customWidth="1"/>
    <col min="4" max="4" width="14.140625" style="146" customWidth="1"/>
    <col min="5" max="5" width="9.140625" style="147" customWidth="1"/>
    <col min="6" max="6" width="14.140625" style="146" customWidth="1"/>
    <col min="7" max="7" width="9.140625" style="147" customWidth="1"/>
    <col min="8" max="8" width="7.28515625" style="148" customWidth="1"/>
    <col min="9" max="16384" width="9.140625" style="147"/>
  </cols>
  <sheetData>
    <row r="3" spans="1:8" ht="21.75" customHeight="1">
      <c r="B3" s="143" t="s">
        <v>73</v>
      </c>
      <c r="C3" s="144"/>
      <c r="D3" s="145"/>
      <c r="E3" s="144"/>
    </row>
    <row r="4" spans="1:8">
      <c r="B4" s="149"/>
      <c r="C4" s="149"/>
      <c r="D4" s="150"/>
      <c r="E4" s="149"/>
    </row>
    <row r="5" spans="1:8">
      <c r="B5" s="149" t="s">
        <v>0</v>
      </c>
      <c r="C5" s="149"/>
      <c r="D5" s="150"/>
      <c r="E5" s="149"/>
    </row>
    <row r="6" spans="1:8">
      <c r="B6" s="149" t="s">
        <v>74</v>
      </c>
      <c r="C6" s="149"/>
      <c r="D6" s="150"/>
      <c r="E6" s="149"/>
      <c r="F6" s="36"/>
      <c r="G6" s="151"/>
      <c r="H6" s="152"/>
    </row>
    <row r="7" spans="1:8" ht="18.75" customHeight="1">
      <c r="B7" s="729" t="s">
        <v>75</v>
      </c>
      <c r="C7" s="153" t="s">
        <v>76</v>
      </c>
      <c r="D7" s="154" t="s">
        <v>77</v>
      </c>
      <c r="E7" s="155" t="s">
        <v>78</v>
      </c>
      <c r="F7" s="154" t="s">
        <v>77</v>
      </c>
      <c r="G7" s="155" t="s">
        <v>78</v>
      </c>
      <c r="H7" s="156" t="s">
        <v>79</v>
      </c>
    </row>
    <row r="8" spans="1:8" ht="18.75" customHeight="1">
      <c r="B8" s="730"/>
      <c r="C8" s="157"/>
      <c r="D8" s="158" t="s">
        <v>80</v>
      </c>
      <c r="E8" s="159" t="s">
        <v>81</v>
      </c>
      <c r="F8" s="158" t="s">
        <v>82</v>
      </c>
      <c r="G8" s="159" t="s">
        <v>81</v>
      </c>
      <c r="H8" s="160" t="s">
        <v>83</v>
      </c>
    </row>
    <row r="9" spans="1:8" ht="13.5" customHeight="1" thickBot="1">
      <c r="A9" s="161"/>
      <c r="B9" s="162">
        <v>1</v>
      </c>
      <c r="C9" s="163">
        <v>2</v>
      </c>
      <c r="D9" s="164">
        <v>3</v>
      </c>
      <c r="E9" s="165">
        <v>4</v>
      </c>
      <c r="F9" s="164">
        <v>5</v>
      </c>
      <c r="G9" s="165">
        <v>6</v>
      </c>
      <c r="H9" s="163">
        <v>7</v>
      </c>
    </row>
    <row r="10" spans="1:8" ht="15" customHeight="1" thickTop="1">
      <c r="A10" s="166"/>
      <c r="B10" s="167" t="s">
        <v>84</v>
      </c>
      <c r="C10" s="168" t="s">
        <v>85</v>
      </c>
      <c r="D10" s="169">
        <v>102054</v>
      </c>
      <c r="E10" s="170">
        <f>+D10/$F$16*100</f>
        <v>86.836856831503866</v>
      </c>
      <c r="F10" s="169">
        <v>108336</v>
      </c>
      <c r="G10" s="170">
        <f>+F10/$F$16*100</f>
        <v>92.182155738117117</v>
      </c>
      <c r="H10" s="171">
        <f>+F10/D10*100</f>
        <v>106.15556470104062</v>
      </c>
    </row>
    <row r="11" spans="1:8" ht="15" customHeight="1">
      <c r="A11" s="166"/>
      <c r="B11" s="172" t="s">
        <v>86</v>
      </c>
      <c r="C11" s="173" t="s">
        <v>87</v>
      </c>
      <c r="D11" s="174">
        <f>4481+715+230+616</f>
        <v>6042</v>
      </c>
      <c r="E11" s="175">
        <f t="shared" ref="E11:G14" si="0">+D11/$F$16*100</f>
        <v>5.1410850037817859</v>
      </c>
      <c r="F11" s="174">
        <f>3528.83+576.33+52.67+520</f>
        <v>4677.83</v>
      </c>
      <c r="G11" s="175">
        <f t="shared" si="0"/>
        <v>3.9803246711751989</v>
      </c>
      <c r="H11" s="176">
        <f>+F11/D11*100</f>
        <v>77.421880172128425</v>
      </c>
    </row>
    <row r="12" spans="1:8" ht="15" customHeight="1">
      <c r="A12" s="166"/>
      <c r="B12" s="172" t="s">
        <v>88</v>
      </c>
      <c r="C12" s="173" t="s">
        <v>89</v>
      </c>
      <c r="D12" s="174">
        <f>2400</f>
        <v>2400</v>
      </c>
      <c r="E12" s="175">
        <f t="shared" si="0"/>
        <v>2.0421390283145131</v>
      </c>
      <c r="F12" s="174">
        <v>2408</v>
      </c>
      <c r="G12" s="175">
        <f t="shared" si="0"/>
        <v>2.0489461584088944</v>
      </c>
      <c r="H12" s="176">
        <f>+F12/D12*100</f>
        <v>100.33333333333334</v>
      </c>
    </row>
    <row r="13" spans="1:8" ht="15" customHeight="1">
      <c r="A13" s="177"/>
      <c r="B13" s="172" t="s">
        <v>90</v>
      </c>
      <c r="C13" s="178" t="s">
        <v>91</v>
      </c>
      <c r="D13" s="174">
        <v>1736</v>
      </c>
      <c r="E13" s="175">
        <f t="shared" si="0"/>
        <v>1.4771472304808309</v>
      </c>
      <c r="F13" s="174">
        <v>1642</v>
      </c>
      <c r="G13" s="175">
        <f t="shared" si="0"/>
        <v>1.3971634518718459</v>
      </c>
      <c r="H13" s="176">
        <f>+F13/D13*100</f>
        <v>94.585253456221196</v>
      </c>
    </row>
    <row r="14" spans="1:8" ht="15" customHeight="1">
      <c r="A14" s="177"/>
      <c r="B14" s="172" t="s">
        <v>92</v>
      </c>
      <c r="C14" s="178" t="s">
        <v>93</v>
      </c>
      <c r="D14" s="174">
        <v>504</v>
      </c>
      <c r="E14" s="175">
        <f t="shared" si="0"/>
        <v>0.42884919594604776</v>
      </c>
      <c r="F14" s="174">
        <v>460</v>
      </c>
      <c r="G14" s="175">
        <f t="shared" si="0"/>
        <v>0.39140998042694836</v>
      </c>
      <c r="H14" s="176">
        <f>+F14/D14*100</f>
        <v>91.269841269841265</v>
      </c>
    </row>
    <row r="15" spans="1:8" ht="15" customHeight="1">
      <c r="A15" s="166"/>
      <c r="B15" s="179" t="s">
        <v>94</v>
      </c>
      <c r="C15" s="180" t="s">
        <v>95</v>
      </c>
      <c r="D15" s="181" t="s">
        <v>96</v>
      </c>
      <c r="E15" s="182"/>
      <c r="F15" s="181" t="s">
        <v>96</v>
      </c>
      <c r="G15" s="183"/>
      <c r="H15" s="184"/>
    </row>
    <row r="16" spans="1:8" s="146" customFormat="1" ht="20.100000000000001" customHeight="1">
      <c r="A16" s="185"/>
      <c r="B16" s="186" t="s">
        <v>97</v>
      </c>
      <c r="C16" s="187" t="s">
        <v>98</v>
      </c>
      <c r="D16" s="188">
        <f>SUM(D10:D15)</f>
        <v>112736</v>
      </c>
      <c r="E16" s="189">
        <f>+D16/D28*100</f>
        <v>61.259577242840848</v>
      </c>
      <c r="F16" s="188">
        <f>SUM(F10:F15)</f>
        <v>117523.83</v>
      </c>
      <c r="G16" s="189">
        <f>+F16/F28*100</f>
        <v>59.665601246641444</v>
      </c>
      <c r="H16" s="190">
        <f t="shared" ref="H16:H28" si="1">+F16/D16*100</f>
        <v>104.24693975305136</v>
      </c>
    </row>
    <row r="17" spans="1:8" ht="15" customHeight="1">
      <c r="A17" s="166"/>
      <c r="B17" s="167" t="s">
        <v>99</v>
      </c>
      <c r="C17" s="168" t="s">
        <v>100</v>
      </c>
      <c r="D17" s="169">
        <f>14112+1688</f>
        <v>15800</v>
      </c>
      <c r="E17" s="170">
        <f>+D17/$F$21*100</f>
        <v>57.896665445218034</v>
      </c>
      <c r="F17" s="169">
        <f>16768+184</f>
        <v>16952</v>
      </c>
      <c r="G17" s="170">
        <f>+F17/$F$21*100</f>
        <v>62.11799193843899</v>
      </c>
      <c r="H17" s="191">
        <f t="shared" si="1"/>
        <v>107.29113924050633</v>
      </c>
    </row>
    <row r="18" spans="1:8" ht="15" customHeight="1">
      <c r="A18" s="177"/>
      <c r="B18" s="172" t="s">
        <v>101</v>
      </c>
      <c r="C18" s="173" t="s">
        <v>102</v>
      </c>
      <c r="D18" s="174">
        <v>4594</v>
      </c>
      <c r="E18" s="175">
        <f t="shared" ref="E18:G20" si="2">+D18/$F$21*100</f>
        <v>16.834005130084282</v>
      </c>
      <c r="F18" s="174">
        <v>5554</v>
      </c>
      <c r="G18" s="175">
        <f t="shared" si="2"/>
        <v>20.351777207768411</v>
      </c>
      <c r="H18" s="176">
        <f t="shared" si="1"/>
        <v>120.89682194166305</v>
      </c>
    </row>
    <row r="19" spans="1:8" ht="15" customHeight="1">
      <c r="A19" s="177"/>
      <c r="B19" s="172" t="s">
        <v>103</v>
      </c>
      <c r="C19" s="173" t="s">
        <v>104</v>
      </c>
      <c r="D19" s="174">
        <v>480</v>
      </c>
      <c r="E19" s="175">
        <f t="shared" si="2"/>
        <v>1.7588860388420668</v>
      </c>
      <c r="F19" s="174">
        <v>224</v>
      </c>
      <c r="G19" s="175">
        <f t="shared" si="2"/>
        <v>0.82081348479296434</v>
      </c>
      <c r="H19" s="176">
        <f t="shared" si="1"/>
        <v>46.666666666666664</v>
      </c>
    </row>
    <row r="20" spans="1:8" ht="15" customHeight="1">
      <c r="A20" s="177"/>
      <c r="B20" s="179" t="s">
        <v>105</v>
      </c>
      <c r="C20" s="192" t="s">
        <v>106</v>
      </c>
      <c r="D20" s="193">
        <v>4936</v>
      </c>
      <c r="E20" s="183">
        <f t="shared" si="2"/>
        <v>18.087211432759254</v>
      </c>
      <c r="F20" s="193">
        <v>4560</v>
      </c>
      <c r="G20" s="183">
        <f t="shared" si="2"/>
        <v>16.709417368999631</v>
      </c>
      <c r="H20" s="184">
        <f t="shared" si="1"/>
        <v>92.382495948136139</v>
      </c>
    </row>
    <row r="21" spans="1:8" ht="20.100000000000001" customHeight="1">
      <c r="A21" s="166"/>
      <c r="B21" s="186" t="s">
        <v>107</v>
      </c>
      <c r="C21" s="187" t="s">
        <v>108</v>
      </c>
      <c r="D21" s="188">
        <f>SUM(D17:D20)</f>
        <v>25810</v>
      </c>
      <c r="E21" s="189">
        <f>+D21/D28*100</f>
        <v>14.024887246644568</v>
      </c>
      <c r="F21" s="188">
        <f>SUM(F17:F20)</f>
        <v>27290</v>
      </c>
      <c r="G21" s="189">
        <f>+F21/F28*100</f>
        <v>13.854843379600929</v>
      </c>
      <c r="H21" s="190">
        <f t="shared" si="1"/>
        <v>105.73421154591243</v>
      </c>
    </row>
    <row r="22" spans="1:8" ht="15" customHeight="1">
      <c r="A22" s="166"/>
      <c r="B22" s="167" t="s">
        <v>109</v>
      </c>
      <c r="C22" s="168" t="s">
        <v>110</v>
      </c>
      <c r="D22" s="169">
        <f>40+296+2920+2048+136</f>
        <v>5440</v>
      </c>
      <c r="E22" s="170">
        <f>+D22/$F$26*100</f>
        <v>10.430047740475871</v>
      </c>
      <c r="F22" s="169">
        <f>272+232+3080+896+176</f>
        <v>4656</v>
      </c>
      <c r="G22" s="170">
        <f>+F22/$F$26*100</f>
        <v>8.9268938014072905</v>
      </c>
      <c r="H22" s="191">
        <f t="shared" si="1"/>
        <v>85.588235294117638</v>
      </c>
    </row>
    <row r="23" spans="1:8" ht="15" customHeight="1">
      <c r="A23" s="166"/>
      <c r="B23" s="172" t="s">
        <v>111</v>
      </c>
      <c r="C23" s="194" t="s">
        <v>112</v>
      </c>
      <c r="D23" s="195">
        <f>936+24</f>
        <v>960</v>
      </c>
      <c r="E23" s="170">
        <f>+D23/$F$26*100</f>
        <v>1.8405966600839774</v>
      </c>
      <c r="F23" s="195">
        <f>88+32+80+984+24</f>
        <v>1208</v>
      </c>
      <c r="G23" s="170">
        <f>+F23/$F$26*100</f>
        <v>2.3160841306056712</v>
      </c>
      <c r="H23" s="191">
        <f t="shared" si="1"/>
        <v>125.83333333333333</v>
      </c>
    </row>
    <row r="24" spans="1:8" ht="15" customHeight="1">
      <c r="A24" s="177"/>
      <c r="B24" s="172" t="s">
        <v>113</v>
      </c>
      <c r="C24" s="173" t="s">
        <v>114</v>
      </c>
      <c r="D24" s="196">
        <v>0</v>
      </c>
      <c r="E24" s="197"/>
      <c r="F24" s="196">
        <v>0</v>
      </c>
      <c r="G24" s="197"/>
      <c r="H24" s="176"/>
    </row>
    <row r="25" spans="1:8" ht="15" customHeight="1">
      <c r="A25" s="166"/>
      <c r="B25" s="179" t="s">
        <v>115</v>
      </c>
      <c r="C25" s="192" t="s">
        <v>116</v>
      </c>
      <c r="D25" s="193">
        <v>39084</v>
      </c>
      <c r="E25" s="183">
        <f>+D25/$F$26*100</f>
        <v>74.935291523668923</v>
      </c>
      <c r="F25" s="193">
        <v>46293</v>
      </c>
      <c r="G25" s="183">
        <f>+F25/$F$26*100</f>
        <v>88.757022067987037</v>
      </c>
      <c r="H25" s="184">
        <f t="shared" si="1"/>
        <v>118.44488793368131</v>
      </c>
    </row>
    <row r="26" spans="1:8" ht="20.100000000000001" customHeight="1">
      <c r="A26" s="166"/>
      <c r="B26" s="198" t="s">
        <v>117</v>
      </c>
      <c r="C26" s="199" t="s">
        <v>118</v>
      </c>
      <c r="D26" s="188">
        <f>SUM(D22:D25)</f>
        <v>45484</v>
      </c>
      <c r="E26" s="200">
        <f>+D26/D28*100</f>
        <v>24.715535510514592</v>
      </c>
      <c r="F26" s="188">
        <f>SUM(F22:F25)</f>
        <v>52157</v>
      </c>
      <c r="G26" s="200">
        <f>+F26/F28*100</f>
        <v>26.479555373757623</v>
      </c>
      <c r="H26" s="190">
        <f t="shared" si="1"/>
        <v>114.67109313165069</v>
      </c>
    </row>
    <row r="27" spans="1:8" ht="15" customHeight="1">
      <c r="B27" s="158" t="s">
        <v>119</v>
      </c>
      <c r="C27" s="731" t="s">
        <v>120</v>
      </c>
      <c r="D27" s="201"/>
      <c r="E27" s="202"/>
      <c r="F27" s="201"/>
      <c r="G27" s="202"/>
      <c r="H27" s="733">
        <f>+F28/D28*100</f>
        <v>107.03191327500952</v>
      </c>
    </row>
    <row r="28" spans="1:8" ht="12.75" customHeight="1">
      <c r="B28" s="203" t="s">
        <v>121</v>
      </c>
      <c r="C28" s="732"/>
      <c r="D28" s="204">
        <f>D16+D21+D26</f>
        <v>184030</v>
      </c>
      <c r="E28" s="205">
        <f>E16+E21+E26</f>
        <v>100</v>
      </c>
      <c r="F28" s="204">
        <f>F16+F21+F26</f>
        <v>196970.83000000002</v>
      </c>
      <c r="G28" s="205">
        <f>G16+G21+G26</f>
        <v>100</v>
      </c>
      <c r="H28" s="734">
        <f t="shared" si="1"/>
        <v>107.03191327500952</v>
      </c>
    </row>
    <row r="29" spans="1:8">
      <c r="B29" s="206"/>
      <c r="C29" s="206"/>
      <c r="D29" s="207"/>
      <c r="E29" s="206"/>
    </row>
    <row r="30" spans="1:8">
      <c r="B30" s="149"/>
      <c r="C30" s="206"/>
      <c r="D30" s="207"/>
      <c r="E30" s="206"/>
      <c r="F30" s="208"/>
    </row>
    <row r="31" spans="1:8" ht="66" customHeight="1">
      <c r="B31" s="735" t="s">
        <v>122</v>
      </c>
      <c r="C31" s="735"/>
      <c r="D31" s="735"/>
      <c r="E31" s="735"/>
      <c r="F31" s="735"/>
      <c r="G31" s="735"/>
      <c r="H31" s="735"/>
    </row>
    <row r="32" spans="1:8" ht="44.25" customHeight="1">
      <c r="B32" s="728" t="s">
        <v>123</v>
      </c>
      <c r="C32" s="728"/>
      <c r="D32" s="728"/>
      <c r="E32" s="728"/>
      <c r="F32" s="728"/>
      <c r="G32" s="728"/>
      <c r="H32" s="728"/>
    </row>
    <row r="33" spans="2:8" ht="36" customHeight="1">
      <c r="B33" s="728" t="s">
        <v>124</v>
      </c>
      <c r="C33" s="728"/>
      <c r="D33" s="728"/>
      <c r="E33" s="728"/>
      <c r="F33" s="728"/>
      <c r="G33" s="728"/>
      <c r="H33" s="728"/>
    </row>
    <row r="34" spans="2:8" ht="15" customHeight="1">
      <c r="B34" s="149"/>
      <c r="C34" s="149"/>
      <c r="D34" s="150"/>
      <c r="E34" s="149"/>
      <c r="F34" s="36"/>
      <c r="G34" s="151"/>
    </row>
    <row r="35" spans="2:8" ht="15" customHeight="1">
      <c r="B35" s="149"/>
      <c r="C35" s="149"/>
      <c r="D35" s="150"/>
      <c r="E35" s="149"/>
      <c r="F35" s="36"/>
      <c r="G35" s="151"/>
    </row>
    <row r="36" spans="2:8" ht="15" customHeight="1">
      <c r="B36" s="149"/>
      <c r="C36" s="149"/>
      <c r="D36" s="150"/>
      <c r="E36" s="149"/>
      <c r="F36" s="36"/>
      <c r="G36" s="151"/>
    </row>
    <row r="37" spans="2:8" ht="15" customHeight="1">
      <c r="B37" s="149"/>
      <c r="C37" s="149"/>
      <c r="D37" s="150"/>
      <c r="E37" s="149"/>
      <c r="F37" s="36"/>
      <c r="G37" s="151"/>
    </row>
    <row r="38" spans="2:8" ht="15" customHeight="1">
      <c r="B38" s="149"/>
      <c r="C38" s="149"/>
      <c r="D38" s="150"/>
      <c r="E38" s="149"/>
      <c r="F38" s="36"/>
      <c r="G38" s="151"/>
    </row>
    <row r="39" spans="2:8" ht="15" customHeight="1">
      <c r="B39" s="149"/>
      <c r="C39" s="149"/>
      <c r="D39" s="150"/>
      <c r="E39" s="149"/>
      <c r="F39" s="36"/>
      <c r="G39" s="151"/>
    </row>
    <row r="40" spans="2:8" ht="15" customHeight="1">
      <c r="B40" s="149"/>
      <c r="C40" s="149"/>
      <c r="D40" s="150"/>
      <c r="E40" s="149"/>
      <c r="F40" s="36"/>
      <c r="G40" s="151"/>
    </row>
    <row r="41" spans="2:8" ht="15" customHeight="1">
      <c r="B41" s="149"/>
      <c r="C41" s="149"/>
      <c r="D41" s="150"/>
      <c r="E41" s="149"/>
      <c r="F41" s="36"/>
      <c r="G41" s="151"/>
    </row>
    <row r="42" spans="2:8" ht="15" customHeight="1">
      <c r="B42" s="149"/>
      <c r="C42" s="149"/>
      <c r="D42" s="150"/>
      <c r="E42" s="149"/>
      <c r="F42" s="36"/>
      <c r="G42" s="151"/>
    </row>
    <row r="43" spans="2:8" ht="15" customHeight="1">
      <c r="B43" s="149"/>
      <c r="C43" s="149"/>
      <c r="D43" s="150"/>
      <c r="E43" s="149"/>
      <c r="F43" s="36"/>
      <c r="G43" s="151"/>
    </row>
    <row r="44" spans="2:8" ht="15" customHeight="1">
      <c r="B44" s="149"/>
      <c r="C44" s="149"/>
      <c r="D44" s="150"/>
      <c r="E44" s="149"/>
      <c r="F44" s="36"/>
      <c r="G44" s="151"/>
    </row>
    <row r="45" spans="2:8" ht="15" customHeight="1">
      <c r="B45" s="149"/>
      <c r="C45" s="149"/>
      <c r="D45" s="150"/>
      <c r="E45" s="149"/>
      <c r="F45" s="36"/>
      <c r="G45" s="151"/>
    </row>
    <row r="46" spans="2:8" ht="15" customHeight="1">
      <c r="B46" s="149"/>
      <c r="C46" s="149"/>
      <c r="D46" s="150"/>
      <c r="E46" s="149"/>
      <c r="F46" s="36"/>
      <c r="G46" s="151"/>
    </row>
    <row r="47" spans="2:8" ht="15" customHeight="1">
      <c r="B47" s="149"/>
      <c r="C47" s="149"/>
      <c r="D47" s="150"/>
      <c r="E47" s="149"/>
      <c r="F47" s="36"/>
      <c r="G47" s="151"/>
    </row>
    <row r="48" spans="2:8" ht="15" customHeight="1">
      <c r="B48" s="149"/>
      <c r="C48" s="149"/>
      <c r="D48" s="150"/>
      <c r="E48" s="149"/>
      <c r="F48" s="36"/>
      <c r="G48" s="151"/>
    </row>
    <row r="49" spans="1:8" ht="15" customHeight="1">
      <c r="B49" s="149"/>
      <c r="C49" s="149"/>
      <c r="D49" s="150"/>
      <c r="E49" s="149"/>
      <c r="F49" s="36"/>
      <c r="G49" s="151"/>
    </row>
    <row r="50" spans="1:8" ht="15" customHeight="1">
      <c r="B50" s="149"/>
      <c r="C50" s="149"/>
      <c r="D50" s="150"/>
      <c r="E50" s="149"/>
      <c r="F50" s="36"/>
      <c r="G50" s="151"/>
    </row>
    <row r="51" spans="1:8" ht="15" customHeight="1">
      <c r="B51" s="149"/>
      <c r="C51" s="149"/>
      <c r="D51" s="150"/>
      <c r="E51" s="149"/>
      <c r="F51" s="36"/>
      <c r="G51" s="151"/>
    </row>
    <row r="52" spans="1:8">
      <c r="B52" s="209"/>
      <c r="C52" s="209"/>
      <c r="D52" s="210"/>
      <c r="E52" s="209"/>
      <c r="F52" s="210"/>
      <c r="G52" s="209"/>
      <c r="H52" s="211"/>
    </row>
    <row r="53" spans="1:8" s="213" customFormat="1">
      <c r="A53" s="212"/>
      <c r="D53" s="214"/>
      <c r="F53" s="214"/>
      <c r="H53" s="215"/>
    </row>
  </sheetData>
  <mergeCells count="6">
    <mergeCell ref="B33:H33"/>
    <mergeCell ref="B7:B8"/>
    <mergeCell ref="C27:C28"/>
    <mergeCell ref="H27:H28"/>
    <mergeCell ref="B31:H31"/>
    <mergeCell ref="B32:H32"/>
  </mergeCells>
  <pageMargins left="0.70866141732283472" right="0.39370078740157483" top="0.47244094488188981" bottom="0.47244094488188981" header="0.39370078740157483" footer="0.39370078740157483"/>
  <pageSetup paperSize="9" scale="85" orientation="portrait" r:id="rId1"/>
  <headerFooter alignWithMargins="0">
    <oddHeader>&amp;L_______________&amp;C&amp;"Times New Roman,Uobičajeno"Vodoopskrba i odvodnja Zaprešić d.o.o. - Godišnji izvještaj za 2024. godinu&amp;R______________</oddHeader>
    <oddFooter>&amp;L&amp;"Times New Roman,Uobičajeno"Vodoopskrba i odvodnja Zaprešić d.o.o.&amp;R&amp;"Times New Roman,Uobičajeno"9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view="pageBreakPreview" zoomScaleNormal="85" zoomScaleSheetLayoutView="100" workbookViewId="0">
      <selection activeCell="G23" sqref="G23"/>
    </sheetView>
  </sheetViews>
  <sheetFormatPr defaultColWidth="9.140625" defaultRowHeight="12.75"/>
  <cols>
    <col min="1" max="1" width="3.85546875" style="216" customWidth="1"/>
    <col min="2" max="2" width="4.42578125" style="216" customWidth="1"/>
    <col min="3" max="4" width="9.140625" style="216"/>
    <col min="5" max="5" width="26.28515625" style="216" customWidth="1"/>
    <col min="6" max="6" width="7.7109375" style="216" customWidth="1"/>
    <col min="7" max="7" width="13.85546875" style="217" customWidth="1"/>
    <col min="8" max="8" width="13.85546875" style="218" customWidth="1"/>
    <col min="9" max="9" width="13.85546875" style="217" customWidth="1"/>
    <col min="10" max="11" width="6.5703125" style="217" customWidth="1"/>
    <col min="12" max="16384" width="9.140625" style="216"/>
  </cols>
  <sheetData>
    <row r="2" spans="1:11" ht="13.5" customHeight="1"/>
    <row r="3" spans="1:11" ht="14.25">
      <c r="A3" s="219"/>
      <c r="B3" s="220" t="s">
        <v>125</v>
      </c>
      <c r="C3" s="221"/>
      <c r="D3" s="221"/>
      <c r="E3" s="221"/>
      <c r="F3" s="221"/>
      <c r="G3" s="222"/>
      <c r="H3" s="223"/>
      <c r="I3" s="224"/>
      <c r="J3" s="224"/>
      <c r="K3" s="224"/>
    </row>
    <row r="4" spans="1:11">
      <c r="A4" s="219"/>
      <c r="B4" s="221" t="s">
        <v>0</v>
      </c>
      <c r="C4" s="221"/>
      <c r="D4" s="221"/>
      <c r="E4" s="221"/>
      <c r="F4" s="221" t="s">
        <v>0</v>
      </c>
      <c r="G4" s="222"/>
      <c r="H4" s="223"/>
      <c r="I4" s="224"/>
      <c r="J4" s="224"/>
      <c r="K4" s="224"/>
    </row>
    <row r="5" spans="1:11" ht="15" hidden="1" customHeight="1">
      <c r="A5" s="219"/>
      <c r="B5" s="9"/>
      <c r="C5" s="9"/>
      <c r="D5" s="9"/>
      <c r="E5" s="9"/>
      <c r="F5" s="9"/>
      <c r="G5" s="225"/>
      <c r="H5" s="226"/>
      <c r="I5" s="224"/>
      <c r="J5" s="224"/>
      <c r="K5" s="224"/>
    </row>
    <row r="6" spans="1:11">
      <c r="A6" s="219"/>
      <c r="B6" s="219" t="s">
        <v>126</v>
      </c>
      <c r="C6" s="219"/>
      <c r="D6" s="219"/>
      <c r="E6" s="219"/>
      <c r="F6" s="219"/>
      <c r="G6" s="227"/>
      <c r="H6" s="228"/>
      <c r="I6" s="229"/>
      <c r="J6" s="229"/>
      <c r="K6" s="229"/>
    </row>
    <row r="7" spans="1:11" s="231" customFormat="1" ht="25.5" customHeight="1">
      <c r="A7" s="230"/>
      <c r="B7" s="736" t="s">
        <v>127</v>
      </c>
      <c r="C7" s="738" t="s">
        <v>128</v>
      </c>
      <c r="D7" s="739"/>
      <c r="E7" s="740"/>
      <c r="F7" s="744" t="s">
        <v>129</v>
      </c>
      <c r="G7" s="746" t="s">
        <v>130</v>
      </c>
      <c r="H7" s="748" t="s">
        <v>131</v>
      </c>
      <c r="I7" s="746" t="s">
        <v>132</v>
      </c>
      <c r="J7" s="746" t="s">
        <v>133</v>
      </c>
      <c r="K7" s="746" t="s">
        <v>134</v>
      </c>
    </row>
    <row r="8" spans="1:11" s="231" customFormat="1" ht="17.25" customHeight="1">
      <c r="A8" s="230"/>
      <c r="B8" s="737"/>
      <c r="C8" s="741"/>
      <c r="D8" s="742"/>
      <c r="E8" s="743"/>
      <c r="F8" s="745"/>
      <c r="G8" s="747"/>
      <c r="H8" s="749"/>
      <c r="I8" s="747"/>
      <c r="J8" s="747"/>
      <c r="K8" s="747"/>
    </row>
    <row r="9" spans="1:11" s="231" customFormat="1" ht="13.5" thickBot="1">
      <c r="A9" s="230"/>
      <c r="B9" s="232">
        <v>1</v>
      </c>
      <c r="C9" s="752">
        <v>2</v>
      </c>
      <c r="D9" s="753"/>
      <c r="E9" s="754"/>
      <c r="F9" s="232">
        <v>3</v>
      </c>
      <c r="G9" s="233">
        <v>4</v>
      </c>
      <c r="H9" s="233">
        <v>5</v>
      </c>
      <c r="I9" s="234">
        <v>6</v>
      </c>
      <c r="J9" s="234">
        <v>7</v>
      </c>
      <c r="K9" s="234">
        <v>8</v>
      </c>
    </row>
    <row r="10" spans="1:11" s="239" customFormat="1" ht="33" customHeight="1" thickTop="1">
      <c r="A10" s="235"/>
      <c r="B10" s="236" t="s">
        <v>97</v>
      </c>
      <c r="C10" s="755" t="s">
        <v>135</v>
      </c>
      <c r="D10" s="756"/>
      <c r="E10" s="756"/>
      <c r="F10" s="756"/>
      <c r="G10" s="756"/>
      <c r="H10" s="756"/>
      <c r="I10" s="756"/>
      <c r="J10" s="237"/>
      <c r="K10" s="238"/>
    </row>
    <row r="11" spans="1:11" s="239" customFormat="1" ht="30" customHeight="1">
      <c r="A11" s="235"/>
      <c r="B11" s="240" t="s">
        <v>84</v>
      </c>
      <c r="C11" s="757" t="s">
        <v>136</v>
      </c>
      <c r="D11" s="758"/>
      <c r="E11" s="758"/>
      <c r="F11" s="758"/>
      <c r="G11" s="758"/>
      <c r="H11" s="758"/>
      <c r="I11" s="758"/>
      <c r="J11" s="758"/>
      <c r="K11" s="759"/>
    </row>
    <row r="12" spans="1:11" s="231" customFormat="1" ht="25.5" customHeight="1">
      <c r="A12" s="230"/>
      <c r="B12" s="241"/>
      <c r="C12" s="760" t="s">
        <v>137</v>
      </c>
      <c r="D12" s="761"/>
      <c r="E12" s="762"/>
      <c r="F12" s="241" t="s">
        <v>138</v>
      </c>
      <c r="G12" s="242">
        <v>6201629</v>
      </c>
      <c r="H12" s="242">
        <v>5840163</v>
      </c>
      <c r="I12" s="242">
        <v>6795480</v>
      </c>
      <c r="J12" s="243">
        <f>+I12/G12*100</f>
        <v>109.57572599070342</v>
      </c>
      <c r="K12" s="244">
        <f>+I12/H12*100</f>
        <v>116.35771124881276</v>
      </c>
    </row>
    <row r="13" spans="1:11" s="231" customFormat="1" ht="25.5" customHeight="1">
      <c r="A13" s="230"/>
      <c r="B13" s="245"/>
      <c r="C13" s="763" t="s">
        <v>139</v>
      </c>
      <c r="D13" s="764"/>
      <c r="E13" s="765"/>
      <c r="F13" s="246" t="s">
        <v>138</v>
      </c>
      <c r="G13" s="247">
        <v>216767</v>
      </c>
      <c r="H13" s="247">
        <v>227000</v>
      </c>
      <c r="I13" s="247">
        <v>187807</v>
      </c>
      <c r="J13" s="248">
        <f>+I13/G13*100</f>
        <v>86.640032846328083</v>
      </c>
      <c r="K13" s="248">
        <f>+I13/H13*100</f>
        <v>82.734361233480186</v>
      </c>
    </row>
    <row r="14" spans="1:11" s="255" customFormat="1" ht="25.5" customHeight="1">
      <c r="A14" s="249"/>
      <c r="B14" s="250"/>
      <c r="C14" s="766" t="s">
        <v>140</v>
      </c>
      <c r="D14" s="767"/>
      <c r="E14" s="767"/>
      <c r="F14" s="251" t="s">
        <v>138</v>
      </c>
      <c r="G14" s="252">
        <f t="shared" ref="G14:I14" si="0">+G13+G12</f>
        <v>6418396</v>
      </c>
      <c r="H14" s="252">
        <f t="shared" si="0"/>
        <v>6067163</v>
      </c>
      <c r="I14" s="252">
        <f t="shared" si="0"/>
        <v>6983287</v>
      </c>
      <c r="J14" s="253">
        <f>+I14/G14*100</f>
        <v>108.8011241437892</v>
      </c>
      <c r="K14" s="254">
        <f>+I14/H14*100</f>
        <v>115.09970969957457</v>
      </c>
    </row>
    <row r="15" spans="1:11" s="239" customFormat="1" ht="21" customHeight="1">
      <c r="A15" s="235"/>
      <c r="B15" s="256"/>
      <c r="C15" s="768" t="s">
        <v>141</v>
      </c>
      <c r="D15" s="769"/>
      <c r="E15" s="769"/>
      <c r="F15" s="769"/>
      <c r="G15" s="770"/>
      <c r="H15" s="770"/>
      <c r="I15" s="770"/>
      <c r="J15" s="257"/>
      <c r="K15" s="258"/>
    </row>
    <row r="16" spans="1:11" s="239" customFormat="1" ht="28.5" customHeight="1">
      <c r="A16" s="235"/>
      <c r="B16" s="256" t="s">
        <v>86</v>
      </c>
      <c r="C16" s="771" t="s">
        <v>142</v>
      </c>
      <c r="D16" s="772"/>
      <c r="E16" s="772"/>
      <c r="F16" s="256" t="s">
        <v>138</v>
      </c>
      <c r="G16" s="259">
        <f t="shared" ref="G16" si="1">SUM(G17:G20)</f>
        <v>3750731</v>
      </c>
      <c r="H16" s="259">
        <f t="shared" ref="H16:I16" si="2">SUM(H17:H20)</f>
        <v>3826015</v>
      </c>
      <c r="I16" s="259">
        <f t="shared" si="2"/>
        <v>4470583</v>
      </c>
      <c r="J16" s="260">
        <f t="shared" ref="J16:J23" si="3">+I16/G16*100</f>
        <v>119.19231211195897</v>
      </c>
      <c r="K16" s="260">
        <f t="shared" ref="K16:K23" si="4">+I16/H16*100</f>
        <v>116.84698047446234</v>
      </c>
    </row>
    <row r="17" spans="1:11" s="264" customFormat="1" ht="19.5" customHeight="1">
      <c r="A17" s="230"/>
      <c r="B17" s="261" t="s">
        <v>143</v>
      </c>
      <c r="C17" s="773" t="s">
        <v>144</v>
      </c>
      <c r="D17" s="774"/>
      <c r="E17" s="775"/>
      <c r="F17" s="261" t="s">
        <v>138</v>
      </c>
      <c r="G17" s="262">
        <v>2172834</v>
      </c>
      <c r="H17" s="242">
        <v>2220000</v>
      </c>
      <c r="I17" s="262">
        <v>2281490</v>
      </c>
      <c r="J17" s="263">
        <f t="shared" si="3"/>
        <v>105.00065812666774</v>
      </c>
      <c r="K17" s="263">
        <f t="shared" si="4"/>
        <v>102.76981981981983</v>
      </c>
    </row>
    <row r="18" spans="1:11" s="264" customFormat="1" ht="19.5" customHeight="1">
      <c r="A18" s="230"/>
      <c r="B18" s="265" t="s">
        <v>145</v>
      </c>
      <c r="C18" s="750" t="s">
        <v>146</v>
      </c>
      <c r="D18" s="751"/>
      <c r="E18" s="751"/>
      <c r="F18" s="266" t="s">
        <v>138</v>
      </c>
      <c r="G18" s="267">
        <v>366399</v>
      </c>
      <c r="H18" s="268">
        <v>371500</v>
      </c>
      <c r="I18" s="267">
        <v>390835</v>
      </c>
      <c r="J18" s="269">
        <f t="shared" si="3"/>
        <v>106.669232175852</v>
      </c>
      <c r="K18" s="269">
        <f t="shared" si="4"/>
        <v>105.20457604306863</v>
      </c>
    </row>
    <row r="19" spans="1:11" s="264" customFormat="1" ht="27.75" customHeight="1">
      <c r="A19" s="230"/>
      <c r="B19" s="265" t="s">
        <v>147</v>
      </c>
      <c r="C19" s="779" t="s">
        <v>148</v>
      </c>
      <c r="D19" s="774"/>
      <c r="E19" s="775"/>
      <c r="F19" s="270" t="s">
        <v>138</v>
      </c>
      <c r="G19" s="271">
        <v>1180045</v>
      </c>
      <c r="H19" s="272">
        <v>1200000</v>
      </c>
      <c r="I19" s="271">
        <v>1734787</v>
      </c>
      <c r="J19" s="269">
        <f t="shared" si="3"/>
        <v>147.01024113487199</v>
      </c>
      <c r="K19" s="269">
        <f t="shared" si="4"/>
        <v>144.56558333333334</v>
      </c>
    </row>
    <row r="20" spans="1:11" s="264" customFormat="1" ht="35.25" customHeight="1">
      <c r="A20" s="230"/>
      <c r="B20" s="266" t="s">
        <v>149</v>
      </c>
      <c r="C20" s="780" t="s">
        <v>150</v>
      </c>
      <c r="D20" s="781"/>
      <c r="E20" s="782"/>
      <c r="F20" s="266" t="s">
        <v>138</v>
      </c>
      <c r="G20" s="267">
        <v>31453</v>
      </c>
      <c r="H20" s="268">
        <v>34515</v>
      </c>
      <c r="I20" s="267">
        <v>63471</v>
      </c>
      <c r="J20" s="269">
        <f t="shared" si="3"/>
        <v>201.79633103360567</v>
      </c>
      <c r="K20" s="273">
        <f t="shared" si="4"/>
        <v>183.89395914819644</v>
      </c>
    </row>
    <row r="21" spans="1:11" s="239" customFormat="1" ht="19.5" customHeight="1">
      <c r="A21" s="235"/>
      <c r="B21" s="274" t="s">
        <v>88</v>
      </c>
      <c r="C21" s="783" t="s">
        <v>151</v>
      </c>
      <c r="D21" s="784"/>
      <c r="E21" s="784"/>
      <c r="F21" s="274" t="s">
        <v>138</v>
      </c>
      <c r="G21" s="275">
        <f t="shared" ref="G21:I21" si="5">+G12+G13-G16</f>
        <v>2667665</v>
      </c>
      <c r="H21" s="275">
        <f t="shared" si="5"/>
        <v>2241148</v>
      </c>
      <c r="I21" s="275">
        <f t="shared" si="5"/>
        <v>2512704</v>
      </c>
      <c r="J21" s="276">
        <f t="shared" si="3"/>
        <v>94.191137193013361</v>
      </c>
      <c r="K21" s="276">
        <f t="shared" si="4"/>
        <v>112.11682584104219</v>
      </c>
    </row>
    <row r="22" spans="1:11" s="264" customFormat="1" ht="19.5" customHeight="1">
      <c r="A22" s="230"/>
      <c r="B22" s="245"/>
      <c r="C22" s="785" t="s">
        <v>152</v>
      </c>
      <c r="D22" s="786"/>
      <c r="E22" s="787"/>
      <c r="F22" s="277"/>
      <c r="G22" s="278">
        <f>+G21/(G12+G13)*100</f>
        <v>41.562798555900883</v>
      </c>
      <c r="H22" s="278">
        <f>+H21/(H12+H13)*100</f>
        <v>36.938977904500007</v>
      </c>
      <c r="I22" s="278">
        <f>+I21/(I12+I13)*100</f>
        <v>35.981680260312942</v>
      </c>
      <c r="J22" s="279">
        <f t="shared" si="3"/>
        <v>86.571841912710752</v>
      </c>
      <c r="K22" s="279">
        <f t="shared" si="4"/>
        <v>97.40843494191418</v>
      </c>
    </row>
    <row r="23" spans="1:11" s="255" customFormat="1" ht="23.25" customHeight="1">
      <c r="A23" s="249"/>
      <c r="B23" s="280"/>
      <c r="C23" s="788" t="s">
        <v>153</v>
      </c>
      <c r="D23" s="769"/>
      <c r="E23" s="789"/>
      <c r="F23" s="281" t="s">
        <v>154</v>
      </c>
      <c r="G23" s="282">
        <v>21862</v>
      </c>
      <c r="H23" s="282">
        <v>22090</v>
      </c>
      <c r="I23" s="282">
        <v>22456</v>
      </c>
      <c r="J23" s="260">
        <f t="shared" si="3"/>
        <v>102.71704327142987</v>
      </c>
      <c r="K23" s="260">
        <f t="shared" si="4"/>
        <v>101.65685830692621</v>
      </c>
    </row>
    <row r="24" spans="1:11" s="291" customFormat="1" ht="7.5" customHeight="1">
      <c r="A24" s="283"/>
      <c r="B24" s="284"/>
      <c r="C24" s="285"/>
      <c r="D24" s="286"/>
      <c r="E24" s="286"/>
      <c r="F24" s="287"/>
      <c r="G24" s="288"/>
      <c r="H24" s="288"/>
      <c r="I24" s="288"/>
      <c r="J24" s="289"/>
      <c r="K24" s="290"/>
    </row>
    <row r="25" spans="1:11" s="255" customFormat="1" ht="30" customHeight="1">
      <c r="A25" s="249"/>
      <c r="B25" s="292"/>
      <c r="C25" s="790" t="s">
        <v>155</v>
      </c>
      <c r="D25" s="769"/>
      <c r="E25" s="769"/>
      <c r="F25" s="770"/>
      <c r="G25" s="770"/>
      <c r="H25" s="770"/>
      <c r="I25" s="770"/>
      <c r="J25" s="293"/>
      <c r="K25" s="294"/>
    </row>
    <row r="26" spans="1:11" s="291" customFormat="1" ht="21.75" customHeight="1">
      <c r="A26" s="283"/>
      <c r="B26" s="295" t="s">
        <v>84</v>
      </c>
      <c r="C26" s="791" t="s">
        <v>156</v>
      </c>
      <c r="D26" s="792"/>
      <c r="E26" s="793"/>
      <c r="F26" s="296" t="s">
        <v>154</v>
      </c>
      <c r="G26" s="297">
        <v>176</v>
      </c>
      <c r="H26" s="298">
        <v>120</v>
      </c>
      <c r="I26" s="297">
        <v>158</v>
      </c>
      <c r="J26" s="299">
        <f>+I26/G26*100</f>
        <v>89.772727272727266</v>
      </c>
      <c r="K26" s="299">
        <f>+I26/H26*100</f>
        <v>131.66666666666666</v>
      </c>
    </row>
    <row r="27" spans="1:11" s="291" customFormat="1" ht="21.75" customHeight="1">
      <c r="A27" s="283"/>
      <c r="B27" s="300" t="s">
        <v>86</v>
      </c>
      <c r="C27" s="794" t="s">
        <v>157</v>
      </c>
      <c r="D27" s="795"/>
      <c r="E27" s="796"/>
      <c r="F27" s="246" t="s">
        <v>154</v>
      </c>
      <c r="G27" s="301">
        <v>78</v>
      </c>
      <c r="H27" s="302">
        <v>60</v>
      </c>
      <c r="I27" s="301">
        <v>93</v>
      </c>
      <c r="J27" s="303">
        <f>+I27/G27*100</f>
        <v>119.23076923076923</v>
      </c>
      <c r="K27" s="303">
        <f>+I27/H27*100</f>
        <v>155</v>
      </c>
    </row>
    <row r="28" spans="1:11" s="239" customFormat="1" ht="30" customHeight="1">
      <c r="A28" s="235"/>
      <c r="B28" s="256" t="s">
        <v>107</v>
      </c>
      <c r="C28" s="797" t="s">
        <v>158</v>
      </c>
      <c r="D28" s="798"/>
      <c r="E28" s="798"/>
      <c r="F28" s="798"/>
      <c r="G28" s="798"/>
      <c r="H28" s="798"/>
      <c r="I28" s="798"/>
      <c r="J28" s="304"/>
      <c r="K28" s="305"/>
    </row>
    <row r="29" spans="1:11" s="231" customFormat="1" ht="27" customHeight="1">
      <c r="A29" s="230"/>
      <c r="B29" s="306" t="s">
        <v>84</v>
      </c>
      <c r="C29" s="799" t="s">
        <v>159</v>
      </c>
      <c r="D29" s="800"/>
      <c r="E29" s="801"/>
      <c r="F29" s="307" t="s">
        <v>138</v>
      </c>
      <c r="G29" s="308">
        <f t="shared" ref="G29" si="6">SUM(G30:G32)</f>
        <v>1522648</v>
      </c>
      <c r="H29" s="309">
        <f>SUM(H30:H32)</f>
        <v>1801871</v>
      </c>
      <c r="I29" s="308">
        <f t="shared" ref="I29" si="7">SUM(I30:I32)</f>
        <v>1898626</v>
      </c>
      <c r="J29" s="310">
        <f t="shared" ref="J29:J36" si="8">+I29/G29*100</f>
        <v>124.69237801514204</v>
      </c>
      <c r="K29" s="310">
        <f t="shared" ref="K29:K36" si="9">+I29/H29*100</f>
        <v>105.36969627681449</v>
      </c>
    </row>
    <row r="30" spans="1:11" s="231" customFormat="1" ht="19.5" customHeight="1">
      <c r="A30" s="230"/>
      <c r="B30" s="261" t="s">
        <v>143</v>
      </c>
      <c r="C30" s="773" t="s">
        <v>144</v>
      </c>
      <c r="D30" s="802"/>
      <c r="E30" s="803"/>
      <c r="F30" s="261" t="s">
        <v>138</v>
      </c>
      <c r="G30" s="267">
        <f>1313607+4999</f>
        <v>1318606</v>
      </c>
      <c r="H30" s="311">
        <v>1597308</v>
      </c>
      <c r="I30" s="267">
        <f>1636438+4887+1</f>
        <v>1641326</v>
      </c>
      <c r="J30" s="269">
        <f t="shared" si="8"/>
        <v>124.47433122555182</v>
      </c>
      <c r="K30" s="269">
        <f t="shared" si="9"/>
        <v>102.75576156883956</v>
      </c>
    </row>
    <row r="31" spans="1:11" s="231" customFormat="1" ht="19.5" customHeight="1">
      <c r="A31" s="230"/>
      <c r="B31" s="266" t="s">
        <v>145</v>
      </c>
      <c r="C31" s="776" t="s">
        <v>160</v>
      </c>
      <c r="D31" s="777"/>
      <c r="E31" s="778"/>
      <c r="F31" s="266" t="s">
        <v>138</v>
      </c>
      <c r="G31" s="267">
        <f>185514-G35</f>
        <v>176233</v>
      </c>
      <c r="H31" s="312">
        <v>181863</v>
      </c>
      <c r="I31" s="267">
        <f>237685-I35+2</f>
        <v>227731</v>
      </c>
      <c r="J31" s="269">
        <f t="shared" si="8"/>
        <v>129.22154193595978</v>
      </c>
      <c r="K31" s="269">
        <f t="shared" si="9"/>
        <v>125.22118297839582</v>
      </c>
    </row>
    <row r="32" spans="1:11" s="231" customFormat="1" ht="19.5" customHeight="1">
      <c r="A32" s="230"/>
      <c r="B32" s="265" t="s">
        <v>147</v>
      </c>
      <c r="C32" s="807" t="s">
        <v>161</v>
      </c>
      <c r="D32" s="808"/>
      <c r="E32" s="809"/>
      <c r="F32" s="265" t="s">
        <v>138</v>
      </c>
      <c r="G32" s="313">
        <v>27809</v>
      </c>
      <c r="H32" s="314">
        <v>22700</v>
      </c>
      <c r="I32" s="313">
        <v>29569</v>
      </c>
      <c r="J32" s="315">
        <f t="shared" si="8"/>
        <v>106.3288863317631</v>
      </c>
      <c r="K32" s="315">
        <f t="shared" si="9"/>
        <v>130.25991189427313</v>
      </c>
    </row>
    <row r="33" spans="1:11" s="231" customFormat="1" ht="25.5" customHeight="1">
      <c r="A33" s="230"/>
      <c r="B33" s="306" t="s">
        <v>86</v>
      </c>
      <c r="C33" s="799" t="s">
        <v>162</v>
      </c>
      <c r="D33" s="800"/>
      <c r="E33" s="801"/>
      <c r="F33" s="306" t="s">
        <v>138</v>
      </c>
      <c r="G33" s="308">
        <f t="shared" ref="G33" si="10">G35+G34</f>
        <v>216452</v>
      </c>
      <c r="H33" s="309">
        <f>H35+H34</f>
        <v>223000</v>
      </c>
      <c r="I33" s="308">
        <f t="shared" ref="I33" si="11">I35+I34</f>
        <v>249055</v>
      </c>
      <c r="J33" s="310">
        <f t="shared" si="8"/>
        <v>115.06246188531406</v>
      </c>
      <c r="K33" s="310">
        <f t="shared" si="9"/>
        <v>111.68385650224215</v>
      </c>
    </row>
    <row r="34" spans="1:11" s="231" customFormat="1" ht="19.5" customHeight="1">
      <c r="A34" s="230"/>
      <c r="B34" s="261" t="s">
        <v>143</v>
      </c>
      <c r="C34" s="810" t="s">
        <v>163</v>
      </c>
      <c r="D34" s="811"/>
      <c r="E34" s="812"/>
      <c r="F34" s="261" t="s">
        <v>138</v>
      </c>
      <c r="G34" s="262">
        <v>207171</v>
      </c>
      <c r="H34" s="311">
        <v>214000</v>
      </c>
      <c r="I34" s="262">
        <v>239099</v>
      </c>
      <c r="J34" s="263">
        <f t="shared" si="8"/>
        <v>115.41142341350866</v>
      </c>
      <c r="K34" s="263">
        <f t="shared" si="9"/>
        <v>111.72850467289719</v>
      </c>
    </row>
    <row r="35" spans="1:11" s="231" customFormat="1" ht="19.5" customHeight="1">
      <c r="A35" s="230"/>
      <c r="B35" s="265" t="s">
        <v>145</v>
      </c>
      <c r="C35" s="813" t="s">
        <v>146</v>
      </c>
      <c r="D35" s="814"/>
      <c r="E35" s="815"/>
      <c r="F35" s="265" t="s">
        <v>138</v>
      </c>
      <c r="G35" s="313">
        <f>6659+2622</f>
        <v>9281</v>
      </c>
      <c r="H35" s="314">
        <v>9000</v>
      </c>
      <c r="I35" s="313">
        <f>6504+3452</f>
        <v>9956</v>
      </c>
      <c r="J35" s="315">
        <f t="shared" si="8"/>
        <v>107.27292317638187</v>
      </c>
      <c r="K35" s="315">
        <f t="shared" si="9"/>
        <v>110.62222222222222</v>
      </c>
    </row>
    <row r="36" spans="1:11" s="291" customFormat="1" ht="23.25" customHeight="1">
      <c r="A36" s="283"/>
      <c r="B36" s="306" t="s">
        <v>88</v>
      </c>
      <c r="C36" s="816" t="s">
        <v>153</v>
      </c>
      <c r="D36" s="817"/>
      <c r="E36" s="818"/>
      <c r="F36" s="306" t="s">
        <v>154</v>
      </c>
      <c r="G36" s="308">
        <v>12897</v>
      </c>
      <c r="H36" s="309">
        <v>16133</v>
      </c>
      <c r="I36" s="308">
        <v>17270</v>
      </c>
      <c r="J36" s="310">
        <f t="shared" si="8"/>
        <v>133.90711018066216</v>
      </c>
      <c r="K36" s="310">
        <f t="shared" si="9"/>
        <v>107.04766627409657</v>
      </c>
    </row>
    <row r="37" spans="1:11" s="231" customFormat="1" ht="24" customHeight="1">
      <c r="A37" s="230"/>
      <c r="B37" s="316" t="s">
        <v>90</v>
      </c>
      <c r="C37" s="819" t="s">
        <v>164</v>
      </c>
      <c r="D37" s="820"/>
      <c r="E37" s="821"/>
      <c r="F37" s="261"/>
      <c r="G37" s="262"/>
      <c r="H37" s="311"/>
      <c r="I37" s="262"/>
      <c r="J37" s="263"/>
      <c r="K37" s="263"/>
    </row>
    <row r="38" spans="1:11" s="231" customFormat="1" ht="19.5" customHeight="1">
      <c r="A38" s="230"/>
      <c r="B38" s="266" t="s">
        <v>143</v>
      </c>
      <c r="C38" s="776" t="s">
        <v>165</v>
      </c>
      <c r="D38" s="777"/>
      <c r="E38" s="778"/>
      <c r="F38" s="266" t="s">
        <v>166</v>
      </c>
      <c r="G38" s="267">
        <f>472+428+25</f>
        <v>925</v>
      </c>
      <c r="H38" s="312">
        <v>790</v>
      </c>
      <c r="I38" s="267">
        <f>565+12+445</f>
        <v>1022</v>
      </c>
      <c r="J38" s="269">
        <f>+I38/G38*100</f>
        <v>110.48648648648648</v>
      </c>
      <c r="K38" s="269">
        <f>+I38/H38*100</f>
        <v>129.36708860759495</v>
      </c>
    </row>
    <row r="39" spans="1:11" s="231" customFormat="1" ht="19.5" customHeight="1">
      <c r="A39" s="230"/>
      <c r="B39" s="266" t="s">
        <v>145</v>
      </c>
      <c r="C39" s="776" t="s">
        <v>167</v>
      </c>
      <c r="D39" s="777"/>
      <c r="E39" s="778"/>
      <c r="F39" s="266" t="s">
        <v>166</v>
      </c>
      <c r="G39" s="267">
        <f>81+93+5</f>
        <v>179</v>
      </c>
      <c r="H39" s="312">
        <v>200</v>
      </c>
      <c r="I39" s="267">
        <f>209+125+4</f>
        <v>338</v>
      </c>
      <c r="J39" s="269">
        <f>+I39/G39*100</f>
        <v>188.82681564245809</v>
      </c>
      <c r="K39" s="269">
        <f>+I39/H39*100</f>
        <v>169</v>
      </c>
    </row>
    <row r="40" spans="1:11" s="231" customFormat="1" ht="23.25" customHeight="1">
      <c r="A40" s="230"/>
      <c r="B40" s="317" t="s">
        <v>92</v>
      </c>
      <c r="C40" s="822" t="s">
        <v>168</v>
      </c>
      <c r="D40" s="777"/>
      <c r="E40" s="778"/>
      <c r="F40" s="266"/>
      <c r="G40" s="318"/>
      <c r="H40" s="319"/>
      <c r="I40" s="318"/>
      <c r="J40" s="320"/>
      <c r="K40" s="320"/>
    </row>
    <row r="41" spans="1:11" s="231" customFormat="1" ht="19.5" customHeight="1">
      <c r="A41" s="230"/>
      <c r="B41" s="266" t="s">
        <v>143</v>
      </c>
      <c r="C41" s="776" t="s">
        <v>169</v>
      </c>
      <c r="D41" s="777"/>
      <c r="E41" s="778"/>
      <c r="F41" s="266" t="s">
        <v>154</v>
      </c>
      <c r="G41" s="267">
        <v>4188</v>
      </c>
      <c r="H41" s="312">
        <v>4123</v>
      </c>
      <c r="I41" s="267">
        <v>4173</v>
      </c>
      <c r="J41" s="269">
        <f>+I41/G41*100</f>
        <v>99.641833810888244</v>
      </c>
      <c r="K41" s="269">
        <f>+I41/H41*100</f>
        <v>101.21270919233567</v>
      </c>
    </row>
    <row r="42" spans="1:11" s="231" customFormat="1" ht="19.5" customHeight="1">
      <c r="A42" s="230"/>
      <c r="B42" s="266" t="s">
        <v>145</v>
      </c>
      <c r="C42" s="776" t="s">
        <v>170</v>
      </c>
      <c r="D42" s="777"/>
      <c r="E42" s="778"/>
      <c r="F42" s="266" t="s">
        <v>154</v>
      </c>
      <c r="G42" s="321">
        <v>350</v>
      </c>
      <c r="H42" s="322">
        <v>210</v>
      </c>
      <c r="I42" s="321">
        <v>355</v>
      </c>
      <c r="J42" s="323">
        <f>+I42/G42*100</f>
        <v>101.42857142857142</v>
      </c>
      <c r="K42" s="323">
        <f>+I42/H42*100</f>
        <v>169.04761904761904</v>
      </c>
    </row>
    <row r="43" spans="1:11" s="231" customFormat="1" ht="19.5" customHeight="1">
      <c r="A43" s="230"/>
      <c r="B43" s="245" t="s">
        <v>147</v>
      </c>
      <c r="C43" s="804" t="s">
        <v>171</v>
      </c>
      <c r="D43" s="805"/>
      <c r="E43" s="806"/>
      <c r="F43" s="246" t="s">
        <v>172</v>
      </c>
      <c r="G43" s="324">
        <v>185</v>
      </c>
      <c r="H43" s="325">
        <v>170</v>
      </c>
      <c r="I43" s="324">
        <v>189.5</v>
      </c>
      <c r="J43" s="326">
        <f>+I43/G43*100</f>
        <v>102.43243243243244</v>
      </c>
      <c r="K43" s="326">
        <f>+I43/H43*100</f>
        <v>111.47058823529412</v>
      </c>
    </row>
    <row r="44" spans="1:11">
      <c r="A44" s="219"/>
      <c r="B44" s="327"/>
      <c r="C44" s="328"/>
      <c r="D44" s="329"/>
      <c r="E44" s="329"/>
      <c r="F44" s="327"/>
      <c r="G44" s="330"/>
      <c r="H44" s="331"/>
      <c r="I44" s="330"/>
      <c r="J44" s="330"/>
      <c r="K44" s="330"/>
    </row>
    <row r="45" spans="1:11">
      <c r="A45" s="219"/>
      <c r="B45" s="327"/>
      <c r="C45" s="328"/>
      <c r="D45" s="329"/>
      <c r="E45" s="329"/>
      <c r="F45" s="327"/>
      <c r="G45" s="330"/>
      <c r="H45" s="331"/>
      <c r="I45" s="330"/>
      <c r="J45" s="330"/>
      <c r="K45" s="330"/>
    </row>
    <row r="46" spans="1:11">
      <c r="A46" s="219"/>
      <c r="E46" s="332"/>
      <c r="F46" s="59"/>
      <c r="G46" s="224"/>
      <c r="H46" s="228"/>
      <c r="I46" s="229"/>
      <c r="J46" s="229"/>
      <c r="K46" s="229"/>
    </row>
    <row r="47" spans="1:11" s="333" customFormat="1">
      <c r="G47" s="334"/>
      <c r="H47" s="335"/>
      <c r="I47" s="334"/>
      <c r="J47" s="334"/>
      <c r="K47" s="334"/>
    </row>
  </sheetData>
  <mergeCells count="42">
    <mergeCell ref="C43:E4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31:E31"/>
    <mergeCell ref="C19:E19"/>
    <mergeCell ref="C20:E20"/>
    <mergeCell ref="C21:E21"/>
    <mergeCell ref="C22:E22"/>
    <mergeCell ref="C23:E23"/>
    <mergeCell ref="C25:I25"/>
    <mergeCell ref="C26:E26"/>
    <mergeCell ref="C27:E27"/>
    <mergeCell ref="C28:I28"/>
    <mergeCell ref="C29:E29"/>
    <mergeCell ref="C30:E30"/>
    <mergeCell ref="C18:E18"/>
    <mergeCell ref="J7:J8"/>
    <mergeCell ref="K7:K8"/>
    <mergeCell ref="C9:E9"/>
    <mergeCell ref="C10:I10"/>
    <mergeCell ref="C11:K11"/>
    <mergeCell ref="C12:E12"/>
    <mergeCell ref="I7:I8"/>
    <mergeCell ref="C13:E13"/>
    <mergeCell ref="C14:E14"/>
    <mergeCell ref="C15:I15"/>
    <mergeCell ref="C16:E16"/>
    <mergeCell ref="C17:E17"/>
    <mergeCell ref="B7:B8"/>
    <mergeCell ref="C7:E8"/>
    <mergeCell ref="F7:F8"/>
    <mergeCell ref="G7:G8"/>
    <mergeCell ref="H7:H8"/>
  </mergeCells>
  <pageMargins left="0.51181102362204722" right="0.51181102362204722" top="0.47244094488188981" bottom="0.47244094488188981" header="0.39370078740157483" footer="0.39370078740157483"/>
  <pageSetup paperSize="9" scale="82" orientation="portrait" r:id="rId1"/>
  <headerFooter alignWithMargins="0">
    <oddHeader>&amp;L_______________&amp;C&amp;"Times New Roman,Uobičajeno"Vodoopskrba i odvodnja Zaprešić d.o.o. - Godišnji izvještaj za 2024. godinu&amp;R________________</oddHeader>
    <oddFooter>&amp;L&amp;"Times New Roman,Uobičajeno"Vodoopskrba i odvodnja Zaprešić d.o.o.&amp;R&amp;"Times New Roman,Uobičajeno"10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3"/>
  <sheetViews>
    <sheetView view="pageBreakPreview" zoomScaleNormal="85" zoomScaleSheetLayoutView="100" workbookViewId="0">
      <selection activeCell="J17" sqref="J17"/>
    </sheetView>
  </sheetViews>
  <sheetFormatPr defaultRowHeight="12.75"/>
  <cols>
    <col min="1" max="1" width="3.7109375" style="1" customWidth="1"/>
    <col min="2" max="2" width="4.42578125" style="1" customWidth="1"/>
    <col min="3" max="3" width="30.7109375" style="1" customWidth="1"/>
    <col min="4" max="4" width="15.85546875" style="389" customWidth="1"/>
    <col min="5" max="5" width="15.85546875" style="441" customWidth="1"/>
    <col min="6" max="6" width="15.85546875" style="340" customWidth="1"/>
    <col min="7" max="7" width="6.7109375" style="442" customWidth="1"/>
    <col min="8" max="8" width="6.7109375" style="1" customWidth="1"/>
    <col min="9" max="16384" width="9.140625" style="1"/>
  </cols>
  <sheetData>
    <row r="1" spans="2:8" ht="14.25">
      <c r="B1" s="336"/>
      <c r="C1" s="337"/>
      <c r="D1" s="338"/>
      <c r="E1" s="339"/>
      <c r="G1" s="341"/>
      <c r="H1" s="342"/>
    </row>
    <row r="2" spans="2:8" ht="14.25">
      <c r="B2" s="343" t="s">
        <v>173</v>
      </c>
      <c r="C2" s="337"/>
      <c r="D2" s="338"/>
      <c r="E2" s="339"/>
      <c r="F2" s="339"/>
      <c r="G2" s="344"/>
      <c r="H2" s="337"/>
    </row>
    <row r="3" spans="2:8">
      <c r="B3" s="336"/>
      <c r="C3" s="336" t="s">
        <v>0</v>
      </c>
      <c r="D3" s="345"/>
      <c r="E3" s="346"/>
      <c r="F3" s="346"/>
      <c r="G3" s="347"/>
      <c r="H3" s="337"/>
    </row>
    <row r="4" spans="2:8">
      <c r="B4" s="336"/>
      <c r="C4" s="336"/>
      <c r="D4" s="345"/>
      <c r="E4" s="346"/>
      <c r="F4" s="346"/>
      <c r="G4" s="347"/>
      <c r="H4" s="337"/>
    </row>
    <row r="5" spans="2:8">
      <c r="B5" s="348" t="s">
        <v>174</v>
      </c>
      <c r="C5" s="349"/>
      <c r="D5" s="350"/>
      <c r="E5" s="351"/>
      <c r="F5" s="351"/>
      <c r="G5" s="352"/>
      <c r="H5" s="337"/>
    </row>
    <row r="6" spans="2:8">
      <c r="B6" s="348"/>
      <c r="C6" s="349"/>
      <c r="D6" s="350"/>
      <c r="E6" s="351"/>
      <c r="F6" s="351"/>
      <c r="G6" s="352"/>
      <c r="H6" s="337"/>
    </row>
    <row r="7" spans="2:8">
      <c r="B7" s="353"/>
      <c r="C7" s="337"/>
      <c r="D7" s="338"/>
      <c r="E7" s="339"/>
      <c r="F7" s="339"/>
      <c r="G7" s="344"/>
      <c r="H7" s="337"/>
    </row>
    <row r="8" spans="2:8">
      <c r="B8" s="354" t="s">
        <v>175</v>
      </c>
      <c r="C8" s="337"/>
      <c r="D8" s="338"/>
      <c r="E8" s="339"/>
      <c r="F8" s="339"/>
      <c r="G8" s="344"/>
      <c r="H8" s="337"/>
    </row>
    <row r="9" spans="2:8" ht="60.75" customHeight="1">
      <c r="B9" s="355" t="s">
        <v>176</v>
      </c>
      <c r="C9" s="356" t="s">
        <v>177</v>
      </c>
      <c r="D9" s="357" t="s">
        <v>178</v>
      </c>
      <c r="E9" s="358" t="s">
        <v>179</v>
      </c>
      <c r="F9" s="357" t="s">
        <v>180</v>
      </c>
      <c r="G9" s="359" t="s">
        <v>181</v>
      </c>
      <c r="H9" s="357" t="s">
        <v>182</v>
      </c>
    </row>
    <row r="10" spans="2:8" s="7" customFormat="1" ht="11.25">
      <c r="B10" s="360">
        <v>1</v>
      </c>
      <c r="C10" s="361">
        <v>2</v>
      </c>
      <c r="D10" s="362">
        <v>3</v>
      </c>
      <c r="E10" s="362">
        <v>4</v>
      </c>
      <c r="F10" s="362">
        <v>5</v>
      </c>
      <c r="G10" s="363">
        <v>6</v>
      </c>
      <c r="H10" s="361">
        <v>7</v>
      </c>
    </row>
    <row r="11" spans="2:8" ht="7.5" customHeight="1">
      <c r="B11" s="364"/>
      <c r="C11" s="365"/>
      <c r="D11" s="366"/>
      <c r="E11" s="366"/>
      <c r="F11" s="366"/>
      <c r="G11" s="367"/>
      <c r="H11" s="368"/>
    </row>
    <row r="12" spans="2:8" ht="22.5" customHeight="1">
      <c r="B12" s="369" t="s">
        <v>97</v>
      </c>
      <c r="C12" s="370" t="s">
        <v>183</v>
      </c>
      <c r="D12" s="371">
        <f>SUM(D13:D14)</f>
        <v>8145087.4700000007</v>
      </c>
      <c r="E12" s="371">
        <f>SUM(E13:E14)</f>
        <v>7405798</v>
      </c>
      <c r="F12" s="371">
        <f>SUM(F13:F14)</f>
        <v>8212343.4400000004</v>
      </c>
      <c r="G12" s="372">
        <f>+F12/D12*100</f>
        <v>100.82572434301925</v>
      </c>
      <c r="H12" s="372">
        <f>+F12/E12*100</f>
        <v>110.89072966883515</v>
      </c>
    </row>
    <row r="13" spans="2:8" ht="16.5" customHeight="1">
      <c r="B13" s="373" t="s">
        <v>84</v>
      </c>
      <c r="C13" s="374" t="s">
        <v>184</v>
      </c>
      <c r="D13" s="375">
        <f>+'Specifikacija prihoda'!C11</f>
        <v>7572725.4500000002</v>
      </c>
      <c r="E13" s="375">
        <f>+'Specifikacija prihoda'!D11</f>
        <v>7235291</v>
      </c>
      <c r="F13" s="375">
        <f>+'Specifikacija prihoda'!E11</f>
        <v>7806544.4400000004</v>
      </c>
      <c r="G13" s="376">
        <f t="shared" ref="G13:G28" si="0">+F13/D13*100</f>
        <v>103.08764646947553</v>
      </c>
      <c r="H13" s="377">
        <f t="shared" ref="H13:H28" si="1">+F13/E13*100</f>
        <v>107.89537615004015</v>
      </c>
    </row>
    <row r="14" spans="2:8" ht="16.5" customHeight="1">
      <c r="B14" s="360" t="s">
        <v>86</v>
      </c>
      <c r="C14" s="378" t="s">
        <v>185</v>
      </c>
      <c r="D14" s="375">
        <f>+'Specifikacija prihoda'!C25</f>
        <v>572362.02</v>
      </c>
      <c r="E14" s="375">
        <f>+'Specifikacija prihoda'!D25</f>
        <v>170507</v>
      </c>
      <c r="F14" s="375">
        <f>+'Specifikacija prihoda'!E25</f>
        <v>405799</v>
      </c>
      <c r="G14" s="379">
        <f t="shared" si="0"/>
        <v>70.899008987353838</v>
      </c>
      <c r="H14" s="380">
        <f t="shared" si="1"/>
        <v>237.99550751582049</v>
      </c>
    </row>
    <row r="15" spans="2:8" ht="21.75" customHeight="1">
      <c r="B15" s="381" t="s">
        <v>107</v>
      </c>
      <c r="C15" s="382" t="s">
        <v>186</v>
      </c>
      <c r="D15" s="383">
        <f>SUM(D16:D23)</f>
        <v>8032865.8399999999</v>
      </c>
      <c r="E15" s="383">
        <f>SUM(E16:E23)</f>
        <v>7307667</v>
      </c>
      <c r="F15" s="383">
        <f>SUM(F16:F23)</f>
        <v>8132321.8000000007</v>
      </c>
      <c r="G15" s="384">
        <f t="shared" si="0"/>
        <v>101.23811304683761</v>
      </c>
      <c r="H15" s="384">
        <f t="shared" si="1"/>
        <v>111.28478897574287</v>
      </c>
    </row>
    <row r="16" spans="2:8" ht="16.5" customHeight="1">
      <c r="B16" s="385" t="s">
        <v>88</v>
      </c>
      <c r="C16" s="374" t="s">
        <v>187</v>
      </c>
      <c r="D16" s="375">
        <f>+'Specifikacija rashoda'!C13</f>
        <v>550018.80000000005</v>
      </c>
      <c r="E16" s="375">
        <f>+'Specifikacija rashoda'!D13</f>
        <v>333442</v>
      </c>
      <c r="F16" s="375">
        <f>+'Specifikacija rashoda'!E13</f>
        <v>419117.01</v>
      </c>
      <c r="G16" s="376">
        <f t="shared" si="0"/>
        <v>76.20048805604462</v>
      </c>
      <c r="H16" s="377">
        <f t="shared" si="1"/>
        <v>125.69412671469102</v>
      </c>
    </row>
    <row r="17" spans="2:8" ht="16.5" customHeight="1">
      <c r="B17" s="373" t="s">
        <v>90</v>
      </c>
      <c r="C17" s="374" t="s">
        <v>188</v>
      </c>
      <c r="D17" s="375">
        <f>+'Specifikacija rashoda'!C18</f>
        <v>568674.47</v>
      </c>
      <c r="E17" s="375">
        <f>+'Specifikacija rashoda'!D18</f>
        <v>584848</v>
      </c>
      <c r="F17" s="375">
        <f>+'Specifikacija rashoda'!E18</f>
        <v>632277.66999999993</v>
      </c>
      <c r="G17" s="376">
        <f t="shared" si="0"/>
        <v>111.18446551680083</v>
      </c>
      <c r="H17" s="377">
        <f t="shared" si="1"/>
        <v>108.10974304434654</v>
      </c>
    </row>
    <row r="18" spans="2:8" ht="16.5" customHeight="1">
      <c r="B18" s="373" t="s">
        <v>92</v>
      </c>
      <c r="C18" s="374" t="s">
        <v>189</v>
      </c>
      <c r="D18" s="375">
        <f>+'Specifikacija rashoda'!C21</f>
        <v>795029.37000000011</v>
      </c>
      <c r="E18" s="375">
        <f>+'Specifikacija rashoda'!D21</f>
        <v>860297</v>
      </c>
      <c r="F18" s="375">
        <f>+'Specifikacija rashoda'!E21</f>
        <v>1046853.99</v>
      </c>
      <c r="G18" s="376">
        <f t="shared" si="0"/>
        <v>131.67488265244839</v>
      </c>
      <c r="H18" s="377">
        <f t="shared" si="1"/>
        <v>121.68518430263038</v>
      </c>
    </row>
    <row r="19" spans="2:8" ht="16.5" customHeight="1">
      <c r="B19" s="373" t="s">
        <v>94</v>
      </c>
      <c r="C19" s="374" t="s">
        <v>190</v>
      </c>
      <c r="D19" s="375">
        <f>+'Specifikacija rashoda'!C25</f>
        <v>1496786.3</v>
      </c>
      <c r="E19" s="375">
        <f>+'Specifikacija rashoda'!D25</f>
        <v>1615924</v>
      </c>
      <c r="F19" s="375">
        <f>+'Specifikacija rashoda'!E25</f>
        <v>1793149.4300000002</v>
      </c>
      <c r="G19" s="376">
        <f t="shared" si="0"/>
        <v>119.79996276021501</v>
      </c>
      <c r="H19" s="377">
        <f t="shared" si="1"/>
        <v>110.96743596852328</v>
      </c>
    </row>
    <row r="20" spans="2:8" ht="16.5" customHeight="1">
      <c r="B20" s="373" t="s">
        <v>99</v>
      </c>
      <c r="C20" s="374" t="s">
        <v>191</v>
      </c>
      <c r="D20" s="375">
        <f>+'Specifikacija rashoda'!C29</f>
        <v>2545760.96</v>
      </c>
      <c r="E20" s="375">
        <f>+'Specifikacija rashoda'!D29</f>
        <v>2512441</v>
      </c>
      <c r="F20" s="375">
        <f>+'Specifikacija rashoda'!E29</f>
        <v>2448791.96</v>
      </c>
      <c r="G20" s="376">
        <f t="shared" si="0"/>
        <v>96.190962092528906</v>
      </c>
      <c r="H20" s="377">
        <f t="shared" si="1"/>
        <v>97.4666453859016</v>
      </c>
    </row>
    <row r="21" spans="2:8" ht="16.5" customHeight="1">
      <c r="B21" s="373" t="s">
        <v>101</v>
      </c>
      <c r="C21" s="374" t="s">
        <v>192</v>
      </c>
      <c r="D21" s="375">
        <f>+'Specifikacija rashoda'!C30</f>
        <v>266310.96000000002</v>
      </c>
      <c r="E21" s="375">
        <f>+'Specifikacija rashoda'!D30</f>
        <v>75000</v>
      </c>
      <c r="F21" s="375">
        <f>+'Specifikacija rashoda'!E30</f>
        <v>98298.81</v>
      </c>
      <c r="G21" s="376">
        <f t="shared" si="0"/>
        <v>36.911289719356645</v>
      </c>
      <c r="H21" s="377">
        <f t="shared" si="1"/>
        <v>131.06507999999999</v>
      </c>
    </row>
    <row r="22" spans="2:8" s="389" customFormat="1" ht="16.5" customHeight="1">
      <c r="B22" s="386" t="s">
        <v>103</v>
      </c>
      <c r="C22" s="387" t="s">
        <v>193</v>
      </c>
      <c r="D22" s="388">
        <f>+'Specifikacija rashoda'!C31</f>
        <v>64739.51</v>
      </c>
      <c r="E22" s="388">
        <f>+'Specifikacija rashoda'!D31</f>
        <v>0</v>
      </c>
      <c r="F22" s="388">
        <f>+'Specifikacija rashoda'!E31</f>
        <v>87106.82</v>
      </c>
      <c r="G22" s="376">
        <f t="shared" si="0"/>
        <v>134.54970542718041</v>
      </c>
      <c r="H22" s="377"/>
    </row>
    <row r="23" spans="2:8" ht="16.5" customHeight="1">
      <c r="B23" s="390" t="s">
        <v>105</v>
      </c>
      <c r="C23" s="378" t="s">
        <v>194</v>
      </c>
      <c r="D23" s="391">
        <f>+'Specifikacija rashoda'!C32</f>
        <v>1745545.47</v>
      </c>
      <c r="E23" s="391">
        <f>+'Specifikacija rashoda'!D32</f>
        <v>1325715</v>
      </c>
      <c r="F23" s="391">
        <f>+'Specifikacija rashoda'!E32</f>
        <v>1606726.1099999999</v>
      </c>
      <c r="G23" s="392">
        <f t="shared" si="0"/>
        <v>92.047221777614297</v>
      </c>
      <c r="H23" s="393">
        <f t="shared" si="1"/>
        <v>121.19694730767925</v>
      </c>
    </row>
    <row r="24" spans="2:8" ht="21" customHeight="1">
      <c r="B24" s="394" t="s">
        <v>117</v>
      </c>
      <c r="C24" s="370" t="s">
        <v>195</v>
      </c>
      <c r="D24" s="371">
        <f>+D12-D15</f>
        <v>112221.63000000082</v>
      </c>
      <c r="E24" s="371">
        <f>+E12-E15</f>
        <v>98131</v>
      </c>
      <c r="F24" s="371">
        <f>+F12-F15</f>
        <v>80021.639999999665</v>
      </c>
      <c r="G24" s="395">
        <f t="shared" si="0"/>
        <v>71.306788183346725</v>
      </c>
      <c r="H24" s="384">
        <f t="shared" si="1"/>
        <v>81.545729687865872</v>
      </c>
    </row>
    <row r="25" spans="2:8" ht="22.5" customHeight="1">
      <c r="B25" s="396" t="s">
        <v>119</v>
      </c>
      <c r="C25" s="397" t="s">
        <v>196</v>
      </c>
      <c r="D25" s="398">
        <f>+D26</f>
        <v>37165.64</v>
      </c>
      <c r="E25" s="398">
        <f>+E26</f>
        <v>28062</v>
      </c>
      <c r="F25" s="398">
        <f>+F26</f>
        <v>106528.69</v>
      </c>
      <c r="G25" s="372">
        <f t="shared" si="0"/>
        <v>286.6321957593089</v>
      </c>
      <c r="H25" s="399">
        <f t="shared" si="1"/>
        <v>379.61902216520565</v>
      </c>
    </row>
    <row r="26" spans="2:8" ht="16.5" customHeight="1">
      <c r="B26" s="400" t="s">
        <v>109</v>
      </c>
      <c r="C26" s="401" t="s">
        <v>197</v>
      </c>
      <c r="D26" s="402">
        <f>+'Specifikacija prihoda'!C30</f>
        <v>37165.64</v>
      </c>
      <c r="E26" s="402">
        <f>+'Specifikacija prihoda'!D30</f>
        <v>28062</v>
      </c>
      <c r="F26" s="402">
        <f>+'Specifikacija prihoda'!E30</f>
        <v>106528.69</v>
      </c>
      <c r="G26" s="376">
        <f t="shared" si="0"/>
        <v>286.6321957593089</v>
      </c>
      <c r="H26" s="377">
        <f t="shared" si="1"/>
        <v>379.61902216520565</v>
      </c>
    </row>
    <row r="27" spans="2:8" ht="22.5" customHeight="1">
      <c r="B27" s="396" t="s">
        <v>198</v>
      </c>
      <c r="C27" s="397" t="s">
        <v>199</v>
      </c>
      <c r="D27" s="398">
        <f>SUM(D28:D28)</f>
        <v>84648.639999999999</v>
      </c>
      <c r="E27" s="398">
        <f>SUM(E28:E28)</f>
        <v>75261</v>
      </c>
      <c r="F27" s="398">
        <f>SUM(F28:F28)</f>
        <v>79412.86</v>
      </c>
      <c r="G27" s="403">
        <f t="shared" si="0"/>
        <v>93.814690938921174</v>
      </c>
      <c r="H27" s="404">
        <f t="shared" si="1"/>
        <v>105.51661551135383</v>
      </c>
    </row>
    <row r="28" spans="2:8" ht="16.5" customHeight="1">
      <c r="B28" s="405" t="s">
        <v>200</v>
      </c>
      <c r="C28" s="378" t="s">
        <v>201</v>
      </c>
      <c r="D28" s="402">
        <f>+'Specifikacija rashoda'!C40</f>
        <v>84648.639999999999</v>
      </c>
      <c r="E28" s="402">
        <f>+'Specifikacija rashoda'!D40</f>
        <v>75261</v>
      </c>
      <c r="F28" s="402">
        <f>+'Specifikacija rashoda'!E40</f>
        <v>79412.86</v>
      </c>
      <c r="G28" s="406">
        <f t="shared" si="0"/>
        <v>93.814690938921174</v>
      </c>
      <c r="H28" s="407">
        <f t="shared" si="1"/>
        <v>105.51661551135383</v>
      </c>
    </row>
    <row r="29" spans="2:8" ht="22.5" customHeight="1">
      <c r="B29" s="394" t="s">
        <v>202</v>
      </c>
      <c r="C29" s="370" t="s">
        <v>203</v>
      </c>
      <c r="D29" s="408">
        <f>+D25-D27</f>
        <v>-47483</v>
      </c>
      <c r="E29" s="408">
        <f>+E25-E27</f>
        <v>-47199</v>
      </c>
      <c r="F29" s="408">
        <f>+F25-F27</f>
        <v>27115.83</v>
      </c>
      <c r="G29" s="395"/>
      <c r="H29" s="384"/>
    </row>
    <row r="30" spans="2:8" ht="5.25" customHeight="1">
      <c r="B30" s="409"/>
      <c r="C30" s="410"/>
      <c r="D30" s="411"/>
      <c r="E30" s="411"/>
      <c r="F30" s="411"/>
      <c r="G30" s="412"/>
      <c r="H30" s="413"/>
    </row>
    <row r="31" spans="2:8" ht="21.75" customHeight="1">
      <c r="B31" s="369" t="s">
        <v>204</v>
      </c>
      <c r="C31" s="370" t="s">
        <v>205</v>
      </c>
      <c r="D31" s="371">
        <f>+D12+D25</f>
        <v>8182253.1100000003</v>
      </c>
      <c r="E31" s="371">
        <f>+E12+E25</f>
        <v>7433860</v>
      </c>
      <c r="F31" s="371">
        <f>+F12+F25</f>
        <v>8318872.1300000008</v>
      </c>
      <c r="G31" s="403">
        <f>+F31/D31*100</f>
        <v>101.66969926453424</v>
      </c>
      <c r="H31" s="404">
        <f>+F31/E31*100</f>
        <v>111.905149276419</v>
      </c>
    </row>
    <row r="32" spans="2:8" ht="21.75" customHeight="1" thickBot="1">
      <c r="B32" s="414" t="s">
        <v>206</v>
      </c>
      <c r="C32" s="415" t="s">
        <v>207</v>
      </c>
      <c r="D32" s="416">
        <f>+D15+D27</f>
        <v>8117514.4799999995</v>
      </c>
      <c r="E32" s="416">
        <f>+E15+E27</f>
        <v>7382928</v>
      </c>
      <c r="F32" s="416">
        <f>+F15+F27</f>
        <v>8211734.6600000011</v>
      </c>
      <c r="G32" s="417">
        <f>+F32/D32*100</f>
        <v>101.16070233360399</v>
      </c>
      <c r="H32" s="418">
        <f>+F32/E32*100</f>
        <v>111.22598865924198</v>
      </c>
    </row>
    <row r="33" spans="2:8" ht="21.75" customHeight="1" thickTop="1" thickBot="1">
      <c r="B33" s="419" t="s">
        <v>208</v>
      </c>
      <c r="C33" s="420" t="s">
        <v>209</v>
      </c>
      <c r="D33" s="421">
        <f>+D31-D32</f>
        <v>64738.63000000082</v>
      </c>
      <c r="E33" s="421">
        <f>+E31-E32</f>
        <v>50932</v>
      </c>
      <c r="F33" s="421">
        <f>+F31-F32</f>
        <v>107137.46999999974</v>
      </c>
      <c r="G33" s="422">
        <f>+F33/D33*100</f>
        <v>165.49233432959329</v>
      </c>
      <c r="H33" s="423">
        <f>+F33/E33*100</f>
        <v>210.35394251158354</v>
      </c>
    </row>
    <row r="34" spans="2:8" ht="13.5" thickTop="1">
      <c r="B34" s="424"/>
      <c r="C34" s="425"/>
      <c r="D34" s="426"/>
      <c r="E34" s="426"/>
      <c r="F34" s="427"/>
      <c r="G34" s="428"/>
      <c r="H34" s="428"/>
    </row>
    <row r="35" spans="2:8">
      <c r="E35" s="429"/>
      <c r="G35" s="1"/>
    </row>
    <row r="36" spans="2:8">
      <c r="E36" s="429"/>
      <c r="F36" s="430"/>
      <c r="G36" s="1"/>
    </row>
    <row r="37" spans="2:8">
      <c r="E37" s="429"/>
      <c r="F37" s="430"/>
      <c r="G37" s="1"/>
    </row>
    <row r="38" spans="2:8">
      <c r="E38" s="429"/>
      <c r="F38" s="430"/>
      <c r="G38" s="1"/>
    </row>
    <row r="39" spans="2:8">
      <c r="E39" s="429"/>
      <c r="F39" s="430"/>
      <c r="G39" s="1"/>
    </row>
    <row r="40" spans="2:8">
      <c r="E40" s="429"/>
      <c r="F40" s="430"/>
      <c r="G40" s="1"/>
    </row>
    <row r="41" spans="2:8">
      <c r="E41" s="429"/>
      <c r="F41" s="430"/>
      <c r="G41" s="1"/>
    </row>
    <row r="42" spans="2:8">
      <c r="E42" s="429"/>
      <c r="F42" s="430"/>
      <c r="G42" s="1"/>
    </row>
    <row r="43" spans="2:8">
      <c r="E43" s="429"/>
      <c r="F43" s="430"/>
      <c r="G43" s="1"/>
    </row>
    <row r="44" spans="2:8">
      <c r="E44" s="429"/>
      <c r="F44" s="430"/>
      <c r="G44" s="1"/>
    </row>
    <row r="45" spans="2:8">
      <c r="E45" s="429"/>
      <c r="F45" s="430"/>
      <c r="G45" s="1"/>
    </row>
    <row r="46" spans="2:8">
      <c r="E46" s="429"/>
      <c r="F46" s="430"/>
      <c r="G46" s="1"/>
    </row>
    <row r="47" spans="2:8">
      <c r="E47" s="429"/>
      <c r="F47" s="430"/>
      <c r="G47" s="1"/>
    </row>
    <row r="48" spans="2:8">
      <c r="E48" s="429"/>
      <c r="F48" s="430"/>
      <c r="G48" s="1"/>
    </row>
    <row r="49" spans="2:8">
      <c r="E49" s="429"/>
      <c r="F49" s="430"/>
      <c r="G49" s="1"/>
    </row>
    <row r="50" spans="2:8">
      <c r="E50" s="429"/>
      <c r="F50" s="430"/>
      <c r="G50" s="1"/>
    </row>
    <row r="51" spans="2:8">
      <c r="B51" s="62"/>
      <c r="C51" s="62"/>
      <c r="D51" s="431"/>
      <c r="E51" s="432"/>
      <c r="F51" s="433"/>
      <c r="G51" s="62"/>
      <c r="H51" s="62"/>
    </row>
    <row r="52" spans="2:8" s="438" customFormat="1" ht="12">
      <c r="B52" s="434"/>
      <c r="C52" s="435"/>
      <c r="D52" s="436"/>
      <c r="E52" s="437"/>
      <c r="F52" s="435"/>
      <c r="G52" s="435"/>
      <c r="H52" s="435"/>
    </row>
    <row r="53" spans="2:8" s="147" customFormat="1" ht="15" customHeight="1">
      <c r="B53" s="11"/>
      <c r="C53" s="11"/>
      <c r="D53" s="439"/>
      <c r="E53" s="11"/>
      <c r="F53" s="11"/>
      <c r="G53" s="11"/>
      <c r="H53" s="11"/>
    </row>
  </sheetData>
  <pageMargins left="0.59055118110236227" right="0.51181102362204722" top="0.6692913385826772" bottom="0.47244094488188981" header="0.39370078740157483" footer="0.39370078740157483"/>
  <pageSetup paperSize="9" scale="94" firstPageNumber="3" orientation="portrait" useFirstPageNumber="1" r:id="rId1"/>
  <headerFooter alignWithMargins="0">
    <oddHeader>&amp;L___________&amp;C&amp;"Times New Roman,Uobičajeno"Vodoopskrba i odvodnja Zaprešić d.o.o. - Godišnji izvještaj za 2024. godinu&amp;R________</oddHeader>
    <oddFooter>&amp;L&amp;"Times New Roman,Uobičajeno"Vodoopskrba i odvodnja Zaprešić d.o.o.&amp;R&amp;"Times New Roman,Uobičajeno"11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view="pageBreakPreview" zoomScaleNormal="100" zoomScaleSheetLayoutView="100" workbookViewId="0">
      <selection activeCell="C17" sqref="C17"/>
    </sheetView>
  </sheetViews>
  <sheetFormatPr defaultRowHeight="12.75"/>
  <cols>
    <col min="1" max="1" width="4.42578125" style="443" customWidth="1"/>
    <col min="2" max="2" width="36.7109375" style="443" customWidth="1"/>
    <col min="3" max="5" width="15.85546875" style="340" customWidth="1"/>
    <col min="6" max="6" width="6.7109375" style="340" customWidth="1"/>
    <col min="7" max="7" width="6.7109375" style="443" customWidth="1"/>
    <col min="8" max="16384" width="9.140625" style="443"/>
  </cols>
  <sheetData>
    <row r="2" spans="1:7" ht="18.75" customHeight="1">
      <c r="A2" s="343" t="s">
        <v>173</v>
      </c>
    </row>
    <row r="3" spans="1:7" ht="12.75" customHeight="1"/>
    <row r="4" spans="1:7" ht="12.75" customHeight="1"/>
    <row r="5" spans="1:7" ht="14.25">
      <c r="A5" s="50" t="s">
        <v>210</v>
      </c>
      <c r="E5" s="444"/>
      <c r="F5" s="445"/>
    </row>
    <row r="6" spans="1:7">
      <c r="A6" s="446"/>
      <c r="E6" s="444"/>
      <c r="F6" s="447"/>
    </row>
    <row r="7" spans="1:7">
      <c r="A7" s="448" t="s">
        <v>211</v>
      </c>
      <c r="E7" s="339"/>
      <c r="F7" s="339"/>
      <c r="G7" s="449"/>
    </row>
    <row r="8" spans="1:7" ht="54.75" customHeight="1">
      <c r="A8" s="450" t="s">
        <v>176</v>
      </c>
      <c r="B8" s="451" t="s">
        <v>212</v>
      </c>
      <c r="C8" s="452" t="s">
        <v>178</v>
      </c>
      <c r="D8" s="453" t="s">
        <v>179</v>
      </c>
      <c r="E8" s="357" t="str">
        <f>+'Račun dobiti'!F9</f>
        <v>OSTVARENO 
2024.
EUR</v>
      </c>
      <c r="F8" s="454" t="s">
        <v>181</v>
      </c>
      <c r="G8" s="357" t="s">
        <v>182</v>
      </c>
    </row>
    <row r="9" spans="1:7" ht="9.75" customHeight="1">
      <c r="A9" s="455">
        <v>1</v>
      </c>
      <c r="B9" s="456">
        <v>2</v>
      </c>
      <c r="C9" s="457">
        <v>3</v>
      </c>
      <c r="D9" s="458">
        <v>4</v>
      </c>
      <c r="E9" s="456">
        <v>5</v>
      </c>
      <c r="F9" s="458">
        <v>6</v>
      </c>
      <c r="G9" s="456">
        <v>7</v>
      </c>
    </row>
    <row r="10" spans="1:7" ht="21" customHeight="1">
      <c r="A10" s="459" t="s">
        <v>213</v>
      </c>
      <c r="B10" s="460" t="s">
        <v>214</v>
      </c>
      <c r="C10" s="461">
        <f>+C11+C25</f>
        <v>8145087.4700000007</v>
      </c>
      <c r="D10" s="462">
        <f>+D11+D25</f>
        <v>7405798</v>
      </c>
      <c r="E10" s="461">
        <f>+E11+E25</f>
        <v>8212343.4400000004</v>
      </c>
      <c r="F10" s="463">
        <f>+E10/C10*100</f>
        <v>100.82572434301925</v>
      </c>
      <c r="G10" s="464">
        <f>+E10/D10*100</f>
        <v>110.89072966883515</v>
      </c>
    </row>
    <row r="11" spans="1:7" ht="19.899999999999999" customHeight="1">
      <c r="A11" s="465" t="s">
        <v>97</v>
      </c>
      <c r="B11" s="466" t="s">
        <v>215</v>
      </c>
      <c r="C11" s="467">
        <f>+C12+C16</f>
        <v>7572725.4500000002</v>
      </c>
      <c r="D11" s="468">
        <f>+D12+D16</f>
        <v>7235291</v>
      </c>
      <c r="E11" s="467">
        <f>+E12+E16</f>
        <v>7806544.4400000004</v>
      </c>
      <c r="F11" s="469">
        <f>+E11/C11*100</f>
        <v>103.08764646947553</v>
      </c>
      <c r="G11" s="470">
        <f>+E11/D11*100</f>
        <v>107.89537615004015</v>
      </c>
    </row>
    <row r="12" spans="1:7" ht="19.899999999999999" customHeight="1">
      <c r="A12" s="471" t="s">
        <v>84</v>
      </c>
      <c r="B12" s="472" t="s">
        <v>216</v>
      </c>
      <c r="C12" s="473">
        <f>SUM(C13:C15)</f>
        <v>3917270.6500000004</v>
      </c>
      <c r="D12" s="474">
        <f>SUM(D13:D15)</f>
        <v>4559611</v>
      </c>
      <c r="E12" s="473">
        <f>SUM(E13:E15)</f>
        <v>4804828.08</v>
      </c>
      <c r="F12" s="475">
        <f t="shared" ref="F12:F31" si="0">+E12/C12*100</f>
        <v>122.65754677941388</v>
      </c>
      <c r="G12" s="476">
        <f t="shared" ref="G12:G30" si="1">+E12/D12*100</f>
        <v>105.37802632724591</v>
      </c>
    </row>
    <row r="13" spans="1:7" ht="19.899999999999999" customHeight="1">
      <c r="A13" s="477"/>
      <c r="B13" s="478" t="s">
        <v>217</v>
      </c>
      <c r="C13" s="479">
        <v>2372615.2000000002</v>
      </c>
      <c r="D13" s="480">
        <v>2806046</v>
      </c>
      <c r="E13" s="479">
        <v>2923834.27</v>
      </c>
      <c r="F13" s="481">
        <f t="shared" si="0"/>
        <v>123.23255241726511</v>
      </c>
      <c r="G13" s="482">
        <f t="shared" si="1"/>
        <v>104.19765998134029</v>
      </c>
    </row>
    <row r="14" spans="1:7" ht="19.899999999999999" customHeight="1">
      <c r="A14" s="477"/>
      <c r="B14" s="478" t="s">
        <v>218</v>
      </c>
      <c r="C14" s="479">
        <v>595338.39</v>
      </c>
      <c r="D14" s="480">
        <v>677748</v>
      </c>
      <c r="E14" s="479">
        <v>722637.37</v>
      </c>
      <c r="F14" s="481">
        <f t="shared" si="0"/>
        <v>121.38262577019432</v>
      </c>
      <c r="G14" s="482">
        <f t="shared" si="1"/>
        <v>106.62331279472606</v>
      </c>
    </row>
    <row r="15" spans="1:7" ht="19.899999999999999" customHeight="1">
      <c r="A15" s="477"/>
      <c r="B15" s="478" t="s">
        <v>219</v>
      </c>
      <c r="C15" s="479">
        <v>949317.06</v>
      </c>
      <c r="D15" s="480">
        <v>1075817</v>
      </c>
      <c r="E15" s="479">
        <v>1158356.44</v>
      </c>
      <c r="F15" s="481">
        <f t="shared" si="0"/>
        <v>122.01997507555589</v>
      </c>
      <c r="G15" s="482">
        <f t="shared" si="1"/>
        <v>107.67225652690003</v>
      </c>
    </row>
    <row r="16" spans="1:7" ht="19.899999999999999" customHeight="1">
      <c r="A16" s="471" t="s">
        <v>86</v>
      </c>
      <c r="B16" s="472" t="s">
        <v>220</v>
      </c>
      <c r="C16" s="473">
        <f>SUM(C17:C24)</f>
        <v>3655454.8</v>
      </c>
      <c r="D16" s="474">
        <f>SUM(D17:D24)</f>
        <v>2675680</v>
      </c>
      <c r="E16" s="473">
        <f>SUM(E17:E24)</f>
        <v>3001716.3600000003</v>
      </c>
      <c r="F16" s="475">
        <f t="shared" si="0"/>
        <v>82.116084707161491</v>
      </c>
      <c r="G16" s="476">
        <f t="shared" si="1"/>
        <v>112.18517759971299</v>
      </c>
    </row>
    <row r="17" spans="1:7" ht="19.899999999999999" customHeight="1">
      <c r="A17" s="477"/>
      <c r="B17" s="478" t="s">
        <v>221</v>
      </c>
      <c r="C17" s="479">
        <v>131113.38</v>
      </c>
      <c r="D17" s="480">
        <v>35672</v>
      </c>
      <c r="E17" s="479">
        <v>41043.64</v>
      </c>
      <c r="F17" s="481">
        <f t="shared" si="0"/>
        <v>31.303929469288335</v>
      </c>
      <c r="G17" s="482">
        <f t="shared" si="1"/>
        <v>115.05842117066607</v>
      </c>
    </row>
    <row r="18" spans="1:7" ht="19.899999999999999" customHeight="1">
      <c r="A18" s="477"/>
      <c r="B18" s="478" t="s">
        <v>222</v>
      </c>
      <c r="C18" s="479">
        <v>290858.73</v>
      </c>
      <c r="D18" s="480">
        <v>260888</v>
      </c>
      <c r="E18" s="479">
        <v>303675.78999999998</v>
      </c>
      <c r="F18" s="481">
        <f t="shared" si="0"/>
        <v>104.40662723102724</v>
      </c>
      <c r="G18" s="482">
        <f t="shared" si="1"/>
        <v>116.40082717487962</v>
      </c>
    </row>
    <row r="19" spans="1:7" ht="19.899999999999999" customHeight="1">
      <c r="A19" s="477"/>
      <c r="B19" s="478" t="s">
        <v>223</v>
      </c>
      <c r="C19" s="479">
        <v>388275.3</v>
      </c>
      <c r="D19" s="480">
        <v>200000</v>
      </c>
      <c r="E19" s="479">
        <v>370091.96</v>
      </c>
      <c r="F19" s="481">
        <f t="shared" si="0"/>
        <v>95.316894996926166</v>
      </c>
      <c r="G19" s="482">
        <f t="shared" si="1"/>
        <v>185.04598000000001</v>
      </c>
    </row>
    <row r="20" spans="1:7" ht="19.899999999999999" customHeight="1">
      <c r="A20" s="477"/>
      <c r="B20" s="483" t="s">
        <v>224</v>
      </c>
      <c r="C20" s="479">
        <v>46301.98</v>
      </c>
      <c r="D20" s="480">
        <v>58085</v>
      </c>
      <c r="E20" s="479">
        <v>46316.37</v>
      </c>
      <c r="F20" s="481">
        <f t="shared" si="0"/>
        <v>100.03107858454435</v>
      </c>
      <c r="G20" s="482">
        <f t="shared" si="1"/>
        <v>79.738951536541279</v>
      </c>
    </row>
    <row r="21" spans="1:7" ht="19.899999999999999" customHeight="1">
      <c r="A21" s="477"/>
      <c r="B21" s="483" t="s">
        <v>225</v>
      </c>
      <c r="C21" s="479">
        <v>121069.3</v>
      </c>
      <c r="D21" s="480">
        <v>10000</v>
      </c>
      <c r="E21" s="479">
        <v>75988.67</v>
      </c>
      <c r="F21" s="481">
        <f t="shared" si="0"/>
        <v>62.764606716979443</v>
      </c>
      <c r="G21" s="482">
        <f t="shared" si="1"/>
        <v>759.88670000000002</v>
      </c>
    </row>
    <row r="22" spans="1:7" ht="19.899999999999999" customHeight="1">
      <c r="A22" s="477"/>
      <c r="B22" s="484" t="s">
        <v>226</v>
      </c>
      <c r="C22" s="479">
        <v>30195.02</v>
      </c>
      <c r="D22" s="480">
        <v>0</v>
      </c>
      <c r="E22" s="479">
        <v>24925.84</v>
      </c>
      <c r="F22" s="481">
        <f t="shared" si="0"/>
        <v>82.549506508026809</v>
      </c>
      <c r="G22" s="482"/>
    </row>
    <row r="23" spans="1:7" ht="24">
      <c r="A23" s="477"/>
      <c r="B23" s="484" t="s">
        <v>227</v>
      </c>
      <c r="C23" s="479">
        <v>2300382.79</v>
      </c>
      <c r="D23" s="480">
        <v>2111035</v>
      </c>
      <c r="E23" s="479">
        <v>2022943.37</v>
      </c>
      <c r="F23" s="481">
        <f t="shared" si="0"/>
        <v>87.939423768685046</v>
      </c>
      <c r="G23" s="482">
        <f t="shared" si="1"/>
        <v>95.82708813449328</v>
      </c>
    </row>
    <row r="24" spans="1:7" ht="24.75" customHeight="1">
      <c r="A24" s="477"/>
      <c r="B24" s="484" t="s">
        <v>228</v>
      </c>
      <c r="C24" s="479">
        <v>347258.3</v>
      </c>
      <c r="D24" s="480">
        <v>0</v>
      </c>
      <c r="E24" s="479">
        <v>116730.72</v>
      </c>
      <c r="F24" s="481">
        <f t="shared" si="0"/>
        <v>33.614954631753946</v>
      </c>
      <c r="G24" s="482"/>
    </row>
    <row r="25" spans="1:7" ht="19.899999999999999" customHeight="1">
      <c r="A25" s="471" t="s">
        <v>107</v>
      </c>
      <c r="B25" s="485" t="s">
        <v>229</v>
      </c>
      <c r="C25" s="473">
        <f>SUM(C26:C28)</f>
        <v>572362.02</v>
      </c>
      <c r="D25" s="474">
        <f>SUM(D26:D28)</f>
        <v>170507</v>
      </c>
      <c r="E25" s="473">
        <f>SUM(E26:E28)</f>
        <v>405799</v>
      </c>
      <c r="F25" s="475">
        <f t="shared" si="0"/>
        <v>70.899008987353838</v>
      </c>
      <c r="G25" s="476">
        <f t="shared" si="1"/>
        <v>237.99550751582049</v>
      </c>
    </row>
    <row r="26" spans="1:7" ht="24">
      <c r="A26" s="471"/>
      <c r="B26" s="484" t="s">
        <v>230</v>
      </c>
      <c r="C26" s="479">
        <v>225422.03999999998</v>
      </c>
      <c r="D26" s="480">
        <v>86000</v>
      </c>
      <c r="E26" s="479">
        <v>154457.07</v>
      </c>
      <c r="F26" s="475">
        <f t="shared" si="0"/>
        <v>68.519063175898879</v>
      </c>
      <c r="G26" s="476">
        <f t="shared" si="1"/>
        <v>179.60124418604653</v>
      </c>
    </row>
    <row r="27" spans="1:7" ht="19.899999999999999" customHeight="1">
      <c r="A27" s="471"/>
      <c r="B27" s="478" t="s">
        <v>231</v>
      </c>
      <c r="C27" s="479">
        <v>66120.91</v>
      </c>
      <c r="D27" s="480">
        <v>66000</v>
      </c>
      <c r="E27" s="479">
        <v>62826.09</v>
      </c>
      <c r="F27" s="475">
        <f t="shared" si="0"/>
        <v>95.016977231559565</v>
      </c>
      <c r="G27" s="476">
        <f t="shared" si="1"/>
        <v>95.19104545454546</v>
      </c>
    </row>
    <row r="28" spans="1:7" ht="19.899999999999999" customHeight="1">
      <c r="A28" s="486"/>
      <c r="B28" s="487" t="s">
        <v>232</v>
      </c>
      <c r="C28" s="488">
        <v>280819.07</v>
      </c>
      <c r="D28" s="489">
        <v>18507</v>
      </c>
      <c r="E28" s="488">
        <v>188515.84</v>
      </c>
      <c r="F28" s="490">
        <f t="shared" si="0"/>
        <v>67.130711600177293</v>
      </c>
      <c r="G28" s="491">
        <f t="shared" si="1"/>
        <v>1018.6191170908305</v>
      </c>
    </row>
    <row r="29" spans="1:7" ht="19.899999999999999" customHeight="1">
      <c r="A29" s="459" t="s">
        <v>233</v>
      </c>
      <c r="B29" s="460" t="s">
        <v>234</v>
      </c>
      <c r="C29" s="461">
        <f>+C30</f>
        <v>37165.64</v>
      </c>
      <c r="D29" s="462">
        <f>+D30</f>
        <v>28062</v>
      </c>
      <c r="E29" s="461">
        <f>+E30</f>
        <v>106528.69</v>
      </c>
      <c r="F29" s="463">
        <f t="shared" si="0"/>
        <v>286.6321957593089</v>
      </c>
      <c r="G29" s="464">
        <f t="shared" si="1"/>
        <v>379.61902216520565</v>
      </c>
    </row>
    <row r="30" spans="1:7" ht="19.899999999999999" customHeight="1">
      <c r="A30" s="492"/>
      <c r="B30" s="493" t="s">
        <v>197</v>
      </c>
      <c r="C30" s="494">
        <v>37165.64</v>
      </c>
      <c r="D30" s="495">
        <v>28062</v>
      </c>
      <c r="E30" s="494">
        <v>106528.69</v>
      </c>
      <c r="F30" s="496">
        <f t="shared" si="0"/>
        <v>286.6321957593089</v>
      </c>
      <c r="G30" s="497">
        <f t="shared" si="1"/>
        <v>379.61902216520565</v>
      </c>
    </row>
    <row r="31" spans="1:7" ht="19.899999999999999" customHeight="1">
      <c r="A31" s="459" t="s">
        <v>235</v>
      </c>
      <c r="B31" s="460" t="s">
        <v>236</v>
      </c>
      <c r="C31" s="461">
        <f>+C10+C29</f>
        <v>8182253.1100000003</v>
      </c>
      <c r="D31" s="462">
        <f>+D10+D29</f>
        <v>7433860</v>
      </c>
      <c r="E31" s="461">
        <f>+E10+E29</f>
        <v>8318872.1300000008</v>
      </c>
      <c r="F31" s="463">
        <f t="shared" si="0"/>
        <v>101.66969926453424</v>
      </c>
      <c r="G31" s="464">
        <f>+E31/D31*100</f>
        <v>111.905149276419</v>
      </c>
    </row>
    <row r="32" spans="1:7">
      <c r="A32" s="498"/>
      <c r="B32" s="499"/>
      <c r="C32" s="500"/>
      <c r="D32" s="500"/>
      <c r="E32" s="500"/>
      <c r="F32" s="496"/>
      <c r="G32" s="501"/>
    </row>
    <row r="33" spans="1:7">
      <c r="A33" s="498"/>
      <c r="B33" s="499"/>
      <c r="C33" s="500"/>
      <c r="D33" s="500"/>
      <c r="E33" s="500"/>
      <c r="F33" s="496"/>
      <c r="G33" s="501"/>
    </row>
    <row r="34" spans="1:7">
      <c r="A34" s="498"/>
      <c r="B34" s="499"/>
      <c r="C34" s="500"/>
      <c r="D34" s="500"/>
      <c r="E34" s="500"/>
      <c r="F34" s="496"/>
      <c r="G34" s="501"/>
    </row>
    <row r="35" spans="1:7">
      <c r="A35" s="498"/>
      <c r="B35" s="499"/>
      <c r="C35" s="500"/>
      <c r="D35" s="500"/>
      <c r="E35" s="500"/>
      <c r="F35" s="496"/>
      <c r="G35" s="501"/>
    </row>
    <row r="36" spans="1:7">
      <c r="A36" s="498"/>
      <c r="B36" s="499"/>
      <c r="C36" s="500"/>
      <c r="D36" s="500"/>
      <c r="E36" s="500"/>
      <c r="F36" s="496"/>
      <c r="G36" s="501"/>
    </row>
    <row r="37" spans="1:7">
      <c r="A37" s="498"/>
      <c r="B37" s="499"/>
      <c r="C37" s="500"/>
      <c r="D37" s="500"/>
      <c r="E37" s="500"/>
      <c r="F37" s="496"/>
      <c r="G37" s="501"/>
    </row>
    <row r="38" spans="1:7">
      <c r="A38" s="498"/>
      <c r="B38" s="499"/>
      <c r="C38" s="500"/>
      <c r="D38" s="500"/>
      <c r="E38" s="500"/>
      <c r="F38" s="496"/>
      <c r="G38" s="501"/>
    </row>
    <row r="39" spans="1:7">
      <c r="A39" s="498"/>
      <c r="B39" s="499"/>
      <c r="C39" s="500"/>
      <c r="D39" s="500"/>
      <c r="E39" s="500"/>
      <c r="F39" s="496"/>
      <c r="G39" s="501"/>
    </row>
    <row r="40" spans="1:7">
      <c r="A40" s="498"/>
      <c r="B40" s="499"/>
      <c r="C40" s="500"/>
      <c r="D40" s="500"/>
      <c r="E40" s="500"/>
      <c r="F40" s="496"/>
      <c r="G40" s="501"/>
    </row>
    <row r="41" spans="1:7">
      <c r="A41" s="498"/>
      <c r="B41" s="499"/>
      <c r="C41" s="500"/>
      <c r="D41" s="500"/>
      <c r="E41" s="500"/>
      <c r="F41" s="496"/>
      <c r="G41" s="501"/>
    </row>
    <row r="42" spans="1:7">
      <c r="A42" s="498"/>
      <c r="B42" s="499"/>
      <c r="C42" s="500"/>
      <c r="D42" s="500"/>
      <c r="E42" s="500"/>
      <c r="F42" s="496"/>
      <c r="G42" s="501"/>
    </row>
    <row r="43" spans="1:7">
      <c r="A43" s="498"/>
      <c r="B43" s="499"/>
      <c r="C43" s="500"/>
      <c r="D43" s="500"/>
      <c r="E43" s="500"/>
      <c r="F43" s="496"/>
      <c r="G43" s="501"/>
    </row>
    <row r="44" spans="1:7">
      <c r="A44" s="498"/>
      <c r="B44" s="499"/>
      <c r="C44" s="500"/>
      <c r="D44" s="500"/>
      <c r="E44" s="500"/>
      <c r="F44" s="496"/>
      <c r="G44" s="501"/>
    </row>
    <row r="45" spans="1:7">
      <c r="A45" s="498"/>
      <c r="B45" s="499"/>
      <c r="C45" s="500"/>
      <c r="D45" s="500"/>
      <c r="E45" s="500"/>
      <c r="F45" s="496"/>
      <c r="G45" s="501"/>
    </row>
    <row r="46" spans="1:7">
      <c r="A46" s="498"/>
      <c r="B46" s="499"/>
      <c r="C46" s="500"/>
      <c r="D46" s="500"/>
      <c r="E46" s="500"/>
      <c r="F46" s="496"/>
      <c r="G46" s="501"/>
    </row>
    <row r="47" spans="1:7">
      <c r="A47" s="498"/>
      <c r="B47" s="499"/>
      <c r="C47" s="500"/>
      <c r="D47" s="500"/>
      <c r="E47" s="500"/>
      <c r="F47" s="496"/>
      <c r="G47" s="501"/>
    </row>
    <row r="48" spans="1:7">
      <c r="A48" s="498"/>
      <c r="B48" s="499"/>
      <c r="C48" s="500"/>
      <c r="D48" s="500"/>
      <c r="E48" s="500"/>
      <c r="F48" s="496"/>
      <c r="G48" s="501"/>
    </row>
    <row r="49" spans="1:7">
      <c r="A49" s="498"/>
      <c r="B49" s="499"/>
      <c r="C49" s="500"/>
      <c r="D49" s="500"/>
      <c r="E49" s="500"/>
      <c r="F49" s="500"/>
      <c r="G49" s="502"/>
    </row>
    <row r="50" spans="1:7">
      <c r="A50" s="503"/>
      <c r="B50" s="503"/>
      <c r="C50" s="504"/>
      <c r="D50" s="504"/>
      <c r="E50" s="505"/>
      <c r="F50" s="506"/>
      <c r="G50" s="503"/>
    </row>
  </sheetData>
  <pageMargins left="0.59055118110236227" right="0.51181102362204722" top="0.6692913385826772" bottom="0.47244094488188981" header="0.39370078740157483" footer="0.39370078740157483"/>
  <pageSetup paperSize="9" scale="89" firstPageNumber="3" orientation="portrait" useFirstPageNumber="1" r:id="rId1"/>
  <headerFooter alignWithMargins="0">
    <oddHeader>&amp;L___________&amp;C&amp;"Times New Roman,Uobičajeno"Vodoopskrba i odvodnja Zaprešić d.o.o. - Godišnji izvještaj za 2024. godinu&amp;R________</oddHeader>
    <oddFooter>&amp;L&amp;"Times New Roman,Uobičajeno"Vodoopskrba i odvodnja Zaprešić d.o.o.&amp;R&amp;"Times New Roman,Uobičajeno"12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100" zoomScaleSheetLayoutView="100" workbookViewId="0">
      <selection activeCell="I21" sqref="I21"/>
    </sheetView>
  </sheetViews>
  <sheetFormatPr defaultRowHeight="12.75"/>
  <cols>
    <col min="1" max="1" width="4.42578125" style="340" customWidth="1"/>
    <col min="2" max="2" width="30.7109375" style="443" customWidth="1"/>
    <col min="3" max="4" width="15.85546875" style="443" customWidth="1"/>
    <col min="5" max="5" width="15.85546875" style="340" customWidth="1"/>
    <col min="6" max="6" width="6.7109375" style="340" customWidth="1"/>
    <col min="7" max="7" width="6.7109375" style="443" customWidth="1"/>
    <col min="8" max="16384" width="9.140625" style="443"/>
  </cols>
  <sheetData>
    <row r="1" spans="1:7">
      <c r="G1" s="339"/>
    </row>
    <row r="2" spans="1:7" ht="14.25">
      <c r="A2" s="343" t="s">
        <v>173</v>
      </c>
      <c r="G2" s="339"/>
    </row>
    <row r="3" spans="1:7">
      <c r="G3" s="339"/>
    </row>
    <row r="4" spans="1:7">
      <c r="G4" s="339"/>
    </row>
    <row r="5" spans="1:7" ht="14.25">
      <c r="A5" s="50" t="s">
        <v>237</v>
      </c>
    </row>
    <row r="6" spans="1:7">
      <c r="A6" s="508"/>
    </row>
    <row r="7" spans="1:7">
      <c r="B7" s="509"/>
      <c r="C7" s="509"/>
      <c r="D7" s="509"/>
      <c r="E7" s="510"/>
    </row>
    <row r="8" spans="1:7">
      <c r="A8" s="511" t="s">
        <v>238</v>
      </c>
      <c r="B8" s="512"/>
      <c r="C8" s="512"/>
      <c r="D8" s="512"/>
      <c r="E8" s="507"/>
      <c r="F8" s="513"/>
      <c r="G8" s="512"/>
    </row>
    <row r="9" spans="1:7" ht="60.75" customHeight="1">
      <c r="A9" s="514" t="s">
        <v>176</v>
      </c>
      <c r="B9" s="451" t="s">
        <v>212</v>
      </c>
      <c r="C9" s="357" t="s">
        <v>178</v>
      </c>
      <c r="D9" s="358" t="s">
        <v>179</v>
      </c>
      <c r="E9" s="357" t="str">
        <f>+'Račun dobiti'!F9</f>
        <v>OSTVARENO 
2024.
EUR</v>
      </c>
      <c r="F9" s="359" t="s">
        <v>181</v>
      </c>
      <c r="G9" s="359" t="s">
        <v>182</v>
      </c>
    </row>
    <row r="10" spans="1:7" ht="10.5" customHeight="1">
      <c r="A10" s="515">
        <v>1</v>
      </c>
      <c r="B10" s="516">
        <v>2</v>
      </c>
      <c r="C10" s="517">
        <v>3</v>
      </c>
      <c r="D10" s="517">
        <v>4</v>
      </c>
      <c r="E10" s="517">
        <v>5</v>
      </c>
      <c r="F10" s="518">
        <v>6</v>
      </c>
      <c r="G10" s="518">
        <v>7</v>
      </c>
    </row>
    <row r="11" spans="1:7" ht="18" customHeight="1">
      <c r="A11" s="519" t="s">
        <v>213</v>
      </c>
      <c r="B11" s="520" t="s">
        <v>186</v>
      </c>
      <c r="C11" s="521">
        <f>C12+C25+C29+C30+C31+C32</f>
        <v>8032865.8399999999</v>
      </c>
      <c r="D11" s="521">
        <f>D12+D25+D29+D30+D32+D31</f>
        <v>7307667</v>
      </c>
      <c r="E11" s="521">
        <f>E12+E25+E29+E30+E31+E32</f>
        <v>8132321.8000000007</v>
      </c>
      <c r="F11" s="464">
        <f>+E11/C11*100</f>
        <v>101.23811304683761</v>
      </c>
      <c r="G11" s="522">
        <f>+E11/D11*100</f>
        <v>111.28478897574287</v>
      </c>
    </row>
    <row r="12" spans="1:7" ht="18" customHeight="1">
      <c r="A12" s="519" t="s">
        <v>84</v>
      </c>
      <c r="B12" s="520" t="s">
        <v>239</v>
      </c>
      <c r="C12" s="521">
        <f>C13+C18+C21</f>
        <v>1913722.6400000001</v>
      </c>
      <c r="D12" s="521">
        <f>D13+D18+D21</f>
        <v>1778587</v>
      </c>
      <c r="E12" s="521">
        <f>E13+E18+E21</f>
        <v>2098248.67</v>
      </c>
      <c r="F12" s="464">
        <f t="shared" ref="F12:F43" si="0">+E12/C12*100</f>
        <v>109.64225568235948</v>
      </c>
      <c r="G12" s="522">
        <f t="shared" ref="G12:G43" si="1">+E12/D12*100</f>
        <v>117.97278794908541</v>
      </c>
    </row>
    <row r="13" spans="1:7" ht="18" customHeight="1">
      <c r="A13" s="523" t="s">
        <v>240</v>
      </c>
      <c r="B13" s="524" t="s">
        <v>187</v>
      </c>
      <c r="C13" s="525">
        <f>C14+C15+C16+C17</f>
        <v>550018.80000000005</v>
      </c>
      <c r="D13" s="525">
        <f>+D14+D15+D16+D17</f>
        <v>333442</v>
      </c>
      <c r="E13" s="525">
        <f>E14+E15+E16+E17</f>
        <v>419117.01</v>
      </c>
      <c r="F13" s="526">
        <f t="shared" si="0"/>
        <v>76.20048805604462</v>
      </c>
      <c r="G13" s="527">
        <f t="shared" si="1"/>
        <v>125.69412671469102</v>
      </c>
    </row>
    <row r="14" spans="1:7" ht="16.5" customHeight="1">
      <c r="A14" s="523"/>
      <c r="B14" s="528" t="s">
        <v>241</v>
      </c>
      <c r="C14" s="402">
        <f>344889.53+26534.83</f>
        <v>371424.36000000004</v>
      </c>
      <c r="D14" s="402">
        <v>247702</v>
      </c>
      <c r="E14" s="529">
        <f>253554.3+18698.34</f>
        <v>272252.64</v>
      </c>
      <c r="F14" s="482">
        <f t="shared" si="0"/>
        <v>73.299618797216198</v>
      </c>
      <c r="G14" s="530">
        <f t="shared" si="1"/>
        <v>109.91136123244867</v>
      </c>
    </row>
    <row r="15" spans="1:7" ht="16.5" customHeight="1">
      <c r="A15" s="523"/>
      <c r="B15" s="528" t="s">
        <v>242</v>
      </c>
      <c r="C15" s="402">
        <f>673.57+5227.88+5694.31+1819.01+14605.66+2975.89+1876.75+7959.53</f>
        <v>40832.6</v>
      </c>
      <c r="D15" s="402">
        <v>46988</v>
      </c>
      <c r="E15" s="529">
        <f>219.4+5800.45+6977.5+3536.61+18197.09+3020.9+248.83+6275.09+2209.5</f>
        <v>46485.37000000001</v>
      </c>
      <c r="F15" s="531">
        <f t="shared" si="0"/>
        <v>113.84376699010107</v>
      </c>
      <c r="G15" s="530">
        <f t="shared" si="1"/>
        <v>98.930301353537104</v>
      </c>
    </row>
    <row r="16" spans="1:7" ht="16.5" customHeight="1">
      <c r="A16" s="523"/>
      <c r="B16" s="528" t="s">
        <v>243</v>
      </c>
      <c r="C16" s="402">
        <v>16692.509999999998</v>
      </c>
      <c r="D16" s="402">
        <v>28752</v>
      </c>
      <c r="E16" s="529">
        <v>24390.33</v>
      </c>
      <c r="F16" s="482">
        <f t="shared" si="0"/>
        <v>146.1154134399201</v>
      </c>
      <c r="G16" s="530">
        <f t="shared" si="1"/>
        <v>84.830029215358934</v>
      </c>
    </row>
    <row r="17" spans="1:7" ht="16.5" customHeight="1">
      <c r="A17" s="523"/>
      <c r="B17" s="528" t="s">
        <v>244</v>
      </c>
      <c r="C17" s="402">
        <v>121069.33</v>
      </c>
      <c r="D17" s="402">
        <v>10000</v>
      </c>
      <c r="E17" s="529">
        <v>75988.67</v>
      </c>
      <c r="F17" s="482">
        <f t="shared" si="0"/>
        <v>62.764591164417936</v>
      </c>
      <c r="G17" s="530">
        <f t="shared" si="1"/>
        <v>759.88670000000002</v>
      </c>
    </row>
    <row r="18" spans="1:7" ht="18" customHeight="1">
      <c r="A18" s="523" t="s">
        <v>245</v>
      </c>
      <c r="B18" s="524" t="s">
        <v>188</v>
      </c>
      <c r="C18" s="532">
        <f>SUM(C19+C20)</f>
        <v>568674.47</v>
      </c>
      <c r="D18" s="525">
        <f>SUM(D19+D20)</f>
        <v>584848</v>
      </c>
      <c r="E18" s="532">
        <f>SUM(E19+E20)</f>
        <v>632277.66999999993</v>
      </c>
      <c r="F18" s="476">
        <f t="shared" si="0"/>
        <v>111.18446551680083</v>
      </c>
      <c r="G18" s="527">
        <f t="shared" si="1"/>
        <v>108.10974304434654</v>
      </c>
    </row>
    <row r="19" spans="1:7" ht="16.5" customHeight="1">
      <c r="A19" s="523"/>
      <c r="B19" s="533" t="s">
        <v>246</v>
      </c>
      <c r="C19" s="402">
        <v>468737.93</v>
      </c>
      <c r="D19" s="534">
        <v>488862</v>
      </c>
      <c r="E19" s="529">
        <f>538894.94-62.23</f>
        <v>538832.71</v>
      </c>
      <c r="F19" s="535">
        <f t="shared" si="0"/>
        <v>114.95393812060396</v>
      </c>
      <c r="G19" s="530">
        <f t="shared" si="1"/>
        <v>110.22184379231766</v>
      </c>
    </row>
    <row r="20" spans="1:7" ht="16.5" customHeight="1">
      <c r="A20" s="523"/>
      <c r="B20" s="533" t="s">
        <v>247</v>
      </c>
      <c r="C20" s="402">
        <f>92837.22+7099.32</f>
        <v>99936.540000000008</v>
      </c>
      <c r="D20" s="534">
        <v>95986</v>
      </c>
      <c r="E20" s="529">
        <f>92782.71+662.25</f>
        <v>93444.96</v>
      </c>
      <c r="F20" s="535">
        <f t="shared" si="0"/>
        <v>93.504297827401274</v>
      </c>
      <c r="G20" s="530">
        <f t="shared" si="1"/>
        <v>97.352697268351633</v>
      </c>
    </row>
    <row r="21" spans="1:7" ht="18" customHeight="1">
      <c r="A21" s="523" t="s">
        <v>248</v>
      </c>
      <c r="B21" s="524" t="s">
        <v>249</v>
      </c>
      <c r="C21" s="532">
        <f>C22+C23+C24</f>
        <v>795029.37000000011</v>
      </c>
      <c r="D21" s="525">
        <f>SUM(D22:D24)</f>
        <v>860297</v>
      </c>
      <c r="E21" s="532">
        <f>E22+E23+E24</f>
        <v>1046853.99</v>
      </c>
      <c r="F21" s="497">
        <f t="shared" si="0"/>
        <v>131.67488265244839</v>
      </c>
      <c r="G21" s="527">
        <f t="shared" si="1"/>
        <v>121.68518430263038</v>
      </c>
    </row>
    <row r="22" spans="1:7" ht="16.5" customHeight="1">
      <c r="A22" s="523"/>
      <c r="B22" s="528" t="s">
        <v>250</v>
      </c>
      <c r="C22" s="402">
        <v>206820.17</v>
      </c>
      <c r="D22" s="534">
        <v>161818</v>
      </c>
      <c r="E22" s="529">
        <f>226728.42-500</f>
        <v>226228.42</v>
      </c>
      <c r="F22" s="482">
        <f t="shared" si="0"/>
        <v>109.38411857992381</v>
      </c>
      <c r="G22" s="530">
        <f t="shared" si="1"/>
        <v>139.80423685869309</v>
      </c>
    </row>
    <row r="23" spans="1:7" ht="16.5" customHeight="1">
      <c r="A23" s="523"/>
      <c r="B23" s="528" t="s">
        <v>251</v>
      </c>
      <c r="C23" s="402">
        <v>369384.14</v>
      </c>
      <c r="D23" s="534">
        <v>471628</v>
      </c>
      <c r="E23" s="529">
        <f>484138.97+107264.46+500</f>
        <v>591903.42999999993</v>
      </c>
      <c r="F23" s="482">
        <f t="shared" si="0"/>
        <v>160.24061834381951</v>
      </c>
      <c r="G23" s="530">
        <f t="shared" si="1"/>
        <v>125.50218180430338</v>
      </c>
    </row>
    <row r="24" spans="1:7">
      <c r="A24" s="523"/>
      <c r="B24" s="528" t="s">
        <v>249</v>
      </c>
      <c r="C24" s="402">
        <f>6712.68+11930.29+157073.03+18039.36+6636.14+18433.56</f>
        <v>218825.06</v>
      </c>
      <c r="D24" s="534">
        <v>226851</v>
      </c>
      <c r="E24" s="529">
        <f>5705.84+12410.08+154606.79+18616.97+10940.46+26442</f>
        <v>228722.14</v>
      </c>
      <c r="F24" s="536">
        <f t="shared" si="0"/>
        <v>104.52282750430871</v>
      </c>
      <c r="G24" s="530">
        <f t="shared" si="1"/>
        <v>100.82483215855342</v>
      </c>
    </row>
    <row r="25" spans="1:7" ht="18.75" customHeight="1">
      <c r="A25" s="523" t="s">
        <v>86</v>
      </c>
      <c r="B25" s="537" t="s">
        <v>190</v>
      </c>
      <c r="C25" s="538">
        <f>C26+C27+C28</f>
        <v>1496786.3</v>
      </c>
      <c r="D25" s="532">
        <f>SUM(D26:D28)</f>
        <v>1615924</v>
      </c>
      <c r="E25" s="538">
        <f>E26+E27+E28</f>
        <v>1793149.4300000002</v>
      </c>
      <c r="F25" s="476">
        <f t="shared" si="0"/>
        <v>119.79996276021501</v>
      </c>
      <c r="G25" s="527">
        <f t="shared" si="1"/>
        <v>110.96743596852328</v>
      </c>
    </row>
    <row r="26" spans="1:7" ht="16.5" customHeight="1">
      <c r="A26" s="523"/>
      <c r="B26" s="539" t="s">
        <v>35</v>
      </c>
      <c r="C26" s="402">
        <v>944665.13</v>
      </c>
      <c r="D26" s="402">
        <v>1018963</v>
      </c>
      <c r="E26" s="529">
        <v>1133047.58</v>
      </c>
      <c r="F26" s="531">
        <f t="shared" si="0"/>
        <v>119.94171733638565</v>
      </c>
      <c r="G26" s="530">
        <f t="shared" si="1"/>
        <v>111.19614549301595</v>
      </c>
    </row>
    <row r="27" spans="1:7" ht="16.5" customHeight="1">
      <c r="A27" s="523"/>
      <c r="B27" s="539" t="s">
        <v>36</v>
      </c>
      <c r="C27" s="402">
        <v>356786.35</v>
      </c>
      <c r="D27" s="402">
        <v>387364</v>
      </c>
      <c r="E27" s="529">
        <v>432966.09</v>
      </c>
      <c r="F27" s="482">
        <f t="shared" si="0"/>
        <v>121.35164083491425</v>
      </c>
      <c r="G27" s="530">
        <f t="shared" si="1"/>
        <v>111.77241302754</v>
      </c>
    </row>
    <row r="28" spans="1:7" ht="16.5" customHeight="1">
      <c r="A28" s="523"/>
      <c r="B28" s="539" t="s">
        <v>252</v>
      </c>
      <c r="C28" s="402">
        <v>195334.82</v>
      </c>
      <c r="D28" s="402">
        <v>209597</v>
      </c>
      <c r="E28" s="529">
        <v>227135.76</v>
      </c>
      <c r="F28" s="535">
        <f t="shared" si="0"/>
        <v>116.28022080241504</v>
      </c>
      <c r="G28" s="530">
        <f t="shared" si="1"/>
        <v>108.3678487764615</v>
      </c>
    </row>
    <row r="29" spans="1:7" ht="18" customHeight="1">
      <c r="A29" s="523" t="s">
        <v>88</v>
      </c>
      <c r="B29" s="540" t="s">
        <v>191</v>
      </c>
      <c r="C29" s="525">
        <v>2545760.96</v>
      </c>
      <c r="D29" s="525">
        <v>2512441</v>
      </c>
      <c r="E29" s="532">
        <v>2448791.96</v>
      </c>
      <c r="F29" s="470">
        <f t="shared" si="0"/>
        <v>96.190962092528906</v>
      </c>
      <c r="G29" s="527">
        <f t="shared" si="1"/>
        <v>97.4666453859016</v>
      </c>
    </row>
    <row r="30" spans="1:7" ht="16.5" customHeight="1">
      <c r="A30" s="523" t="s">
        <v>90</v>
      </c>
      <c r="B30" s="540" t="s">
        <v>253</v>
      </c>
      <c r="C30" s="525">
        <v>266310.96000000002</v>
      </c>
      <c r="D30" s="541">
        <v>75000</v>
      </c>
      <c r="E30" s="542">
        <v>98298.81</v>
      </c>
      <c r="F30" s="497">
        <f t="shared" si="0"/>
        <v>36.911289719356645</v>
      </c>
      <c r="G30" s="527">
        <f t="shared" si="1"/>
        <v>131.06507999999999</v>
      </c>
    </row>
    <row r="31" spans="1:7" ht="16.5" customHeight="1">
      <c r="A31" s="523" t="s">
        <v>92</v>
      </c>
      <c r="B31" s="543" t="s">
        <v>193</v>
      </c>
      <c r="C31" s="525">
        <v>64739.51</v>
      </c>
      <c r="D31" s="525">
        <v>0</v>
      </c>
      <c r="E31" s="542">
        <v>87106.82</v>
      </c>
      <c r="F31" s="476">
        <f t="shared" si="0"/>
        <v>134.54970542718041</v>
      </c>
      <c r="G31" s="527"/>
    </row>
    <row r="32" spans="1:7" ht="16.5" customHeight="1">
      <c r="A32" s="523" t="s">
        <v>94</v>
      </c>
      <c r="B32" s="544" t="s">
        <v>194</v>
      </c>
      <c r="C32" s="525">
        <f>SUM(C33:C38)</f>
        <v>1745545.47</v>
      </c>
      <c r="D32" s="525">
        <f>SUM(D33:D38)</f>
        <v>1325715</v>
      </c>
      <c r="E32" s="532">
        <f>SUM(E33:E38)</f>
        <v>1606726.1099999999</v>
      </c>
      <c r="F32" s="476">
        <f t="shared" si="0"/>
        <v>92.047221777614297</v>
      </c>
      <c r="G32" s="527">
        <f t="shared" si="1"/>
        <v>121.19694730767925</v>
      </c>
    </row>
    <row r="33" spans="1:7">
      <c r="A33" s="523"/>
      <c r="B33" s="533" t="s">
        <v>254</v>
      </c>
      <c r="C33" s="402">
        <v>75370.070000000007</v>
      </c>
      <c r="D33" s="534">
        <v>69847</v>
      </c>
      <c r="E33" s="529">
        <v>81146.149999999994</v>
      </c>
      <c r="F33" s="531">
        <f t="shared" si="0"/>
        <v>107.6636256275203</v>
      </c>
      <c r="G33" s="530">
        <f t="shared" si="1"/>
        <v>116.17700115967757</v>
      </c>
    </row>
    <row r="34" spans="1:7" ht="16.5" customHeight="1">
      <c r="A34" s="523"/>
      <c r="B34" s="533" t="s">
        <v>255</v>
      </c>
      <c r="C34" s="402">
        <v>225883.9</v>
      </c>
      <c r="D34" s="534">
        <v>235176</v>
      </c>
      <c r="E34" s="529">
        <v>261021.25</v>
      </c>
      <c r="F34" s="482">
        <f t="shared" si="0"/>
        <v>115.5554911173395</v>
      </c>
      <c r="G34" s="530">
        <f t="shared" si="1"/>
        <v>110.98974810354798</v>
      </c>
    </row>
    <row r="35" spans="1:7" ht="16.5" customHeight="1">
      <c r="A35" s="523"/>
      <c r="B35" s="533" t="s">
        <v>256</v>
      </c>
      <c r="C35" s="402">
        <v>29335.040000000001</v>
      </c>
      <c r="D35" s="534">
        <v>29429</v>
      </c>
      <c r="E35" s="529">
        <v>34986.42</v>
      </c>
      <c r="F35" s="482">
        <f t="shared" si="0"/>
        <v>119.26494731215638</v>
      </c>
      <c r="G35" s="530">
        <f t="shared" si="1"/>
        <v>118.88416188113764</v>
      </c>
    </row>
    <row r="36" spans="1:7" ht="19.5" customHeight="1">
      <c r="A36" s="523"/>
      <c r="B36" s="533" t="s">
        <v>257</v>
      </c>
      <c r="C36" s="402">
        <v>235975.37</v>
      </c>
      <c r="D36" s="402">
        <v>54397</v>
      </c>
      <c r="E36" s="529">
        <f>4881.6+13692.92+711.19+4914.19+890+54789.38+3648.33+147848.55+18165.71+37423.95+2065.01+3560.01+115.41-143863.77</f>
        <v>148842.47999999995</v>
      </c>
      <c r="F36" s="535">
        <f t="shared" si="0"/>
        <v>63.075430287491429</v>
      </c>
      <c r="G36" s="530">
        <f t="shared" si="1"/>
        <v>273.62258948103749</v>
      </c>
    </row>
    <row r="37" spans="1:7" ht="36">
      <c r="A37" s="545"/>
      <c r="B37" s="546" t="s">
        <v>258</v>
      </c>
      <c r="C37" s="402">
        <v>359345.55</v>
      </c>
      <c r="D37" s="402">
        <v>0</v>
      </c>
      <c r="E37" s="547">
        <v>143863.76999999999</v>
      </c>
      <c r="F37" s="531"/>
      <c r="G37" s="548"/>
    </row>
    <row r="38" spans="1:7" ht="16.5" customHeight="1">
      <c r="A38" s="545"/>
      <c r="B38" s="549" t="s">
        <v>259</v>
      </c>
      <c r="C38" s="402">
        <v>819635.54</v>
      </c>
      <c r="D38" s="402">
        <v>936866</v>
      </c>
      <c r="E38" s="547">
        <v>936866.04</v>
      </c>
      <c r="F38" s="550">
        <f t="shared" si="0"/>
        <v>114.30275949234705</v>
      </c>
      <c r="G38" s="548">
        <f t="shared" si="1"/>
        <v>100.00000426955403</v>
      </c>
    </row>
    <row r="39" spans="1:7" ht="16.5" customHeight="1">
      <c r="A39" s="519" t="s">
        <v>233</v>
      </c>
      <c r="B39" s="520" t="s">
        <v>260</v>
      </c>
      <c r="C39" s="521">
        <f>C40+C42</f>
        <v>84648.639999999999</v>
      </c>
      <c r="D39" s="521">
        <f>SUM(D40:D42)</f>
        <v>75261</v>
      </c>
      <c r="E39" s="408">
        <f>E40+E42</f>
        <v>79412.86</v>
      </c>
      <c r="F39" s="464">
        <f t="shared" si="0"/>
        <v>93.814690938921174</v>
      </c>
      <c r="G39" s="522">
        <f t="shared" si="1"/>
        <v>105.51661551135383</v>
      </c>
    </row>
    <row r="40" spans="1:7">
      <c r="A40" s="551"/>
      <c r="B40" s="552" t="s">
        <v>201</v>
      </c>
      <c r="C40" s="402">
        <v>84648.639999999999</v>
      </c>
      <c r="D40" s="553">
        <v>75261</v>
      </c>
      <c r="E40" s="375">
        <f>79350.63+62.23</f>
        <v>79412.86</v>
      </c>
      <c r="F40" s="554">
        <f t="shared" si="0"/>
        <v>93.814690938921174</v>
      </c>
      <c r="G40" s="555">
        <f t="shared" si="1"/>
        <v>105.51661551135383</v>
      </c>
    </row>
    <row r="41" spans="1:7" ht="16.5" hidden="1" customHeight="1">
      <c r="A41" s="523"/>
      <c r="B41" s="556" t="s">
        <v>261</v>
      </c>
      <c r="C41" s="402"/>
      <c r="D41" s="557"/>
      <c r="E41" s="388"/>
      <c r="F41" s="554" t="e">
        <f t="shared" si="0"/>
        <v>#DIV/0!</v>
      </c>
      <c r="G41" s="555" t="e">
        <f t="shared" si="1"/>
        <v>#DIV/0!</v>
      </c>
    </row>
    <row r="42" spans="1:7" ht="16.5" hidden="1" customHeight="1">
      <c r="A42" s="558"/>
      <c r="B42" s="559" t="s">
        <v>262</v>
      </c>
      <c r="C42" s="402">
        <v>0</v>
      </c>
      <c r="D42" s="391">
        <v>0</v>
      </c>
      <c r="E42" s="547">
        <v>0</v>
      </c>
      <c r="F42" s="554" t="e">
        <f t="shared" si="0"/>
        <v>#DIV/0!</v>
      </c>
      <c r="G42" s="555" t="e">
        <f t="shared" si="1"/>
        <v>#DIV/0!</v>
      </c>
    </row>
    <row r="43" spans="1:7" ht="16.5" customHeight="1" thickBot="1">
      <c r="A43" s="560" t="s">
        <v>263</v>
      </c>
      <c r="B43" s="561" t="s">
        <v>264</v>
      </c>
      <c r="C43" s="562">
        <f>C11+C39</f>
        <v>8117514.4799999995</v>
      </c>
      <c r="D43" s="562">
        <f>D11+D39</f>
        <v>7382928</v>
      </c>
      <c r="E43" s="562">
        <f>E11+E39</f>
        <v>8211734.6600000011</v>
      </c>
      <c r="F43" s="563">
        <f t="shared" si="0"/>
        <v>101.16070233360399</v>
      </c>
      <c r="G43" s="564">
        <f t="shared" si="1"/>
        <v>111.22598865924198</v>
      </c>
    </row>
    <row r="44" spans="1:7" ht="13.5" thickTop="1">
      <c r="A44" s="565"/>
      <c r="B44" s="499"/>
      <c r="C44" s="566"/>
      <c r="D44" s="566"/>
      <c r="F44" s="567"/>
      <c r="G44" s="568"/>
    </row>
    <row r="45" spans="1:7">
      <c r="A45" s="565"/>
      <c r="B45" s="499"/>
      <c r="C45" s="566"/>
      <c r="D45" s="566"/>
      <c r="F45" s="567"/>
      <c r="G45" s="568"/>
    </row>
    <row r="46" spans="1:7">
      <c r="A46" s="565"/>
      <c r="B46" s="499"/>
      <c r="C46" s="566"/>
      <c r="D46" s="566"/>
      <c r="F46" s="567"/>
      <c r="G46" s="568"/>
    </row>
    <row r="47" spans="1:7">
      <c r="A47" s="565"/>
      <c r="B47" s="499"/>
      <c r="C47" s="566"/>
      <c r="D47" s="566"/>
      <c r="F47" s="567"/>
      <c r="G47" s="568"/>
    </row>
    <row r="48" spans="1:7">
      <c r="A48" s="565"/>
      <c r="B48" s="499"/>
      <c r="C48" s="566"/>
      <c r="D48" s="566"/>
      <c r="F48" s="567"/>
      <c r="G48" s="568"/>
    </row>
    <row r="49" spans="1:7">
      <c r="A49" s="565"/>
      <c r="B49" s="499"/>
      <c r="C49" s="566"/>
      <c r="D49" s="566"/>
      <c r="F49" s="567"/>
      <c r="G49" s="568"/>
    </row>
    <row r="51" spans="1:7">
      <c r="A51" s="504"/>
      <c r="B51" s="503"/>
      <c r="C51" s="503"/>
      <c r="D51" s="503"/>
      <c r="E51" s="504"/>
      <c r="F51" s="504"/>
      <c r="G51" s="503"/>
    </row>
  </sheetData>
  <pageMargins left="0.59055118110236227" right="0.51181102362204722" top="0.6692913385826772" bottom="0.47244094488188981" header="0.39370078740157483" footer="0.39370078740157483"/>
  <pageSetup paperSize="9" scale="94" firstPageNumber="3" orientation="portrait" useFirstPageNumber="1" r:id="rId1"/>
  <headerFooter alignWithMargins="0">
    <oddHeader>&amp;L___________&amp;C&amp;"Times New Roman,Uobičajeno"Vodoopskrba i odvodnja Zaprešić d.o.o. - Godišnji izvještaj za 2024. godinu&amp;R________</oddHeader>
    <oddFooter>&amp;L&amp;"Times New Roman,Uobičajeno"Vodoopskrba i odvodnja Zaprešić d.o.o.&amp;R&amp;"Times New Roman,Uobičajeno"13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Naslovnica</vt:lpstr>
      <vt:lpstr>Uvod</vt:lpstr>
      <vt:lpstr>Zaposleni 1</vt:lpstr>
      <vt:lpstr>Zaposleni 2</vt:lpstr>
      <vt:lpstr>Zaposleni 3</vt:lpstr>
      <vt:lpstr>Količine</vt:lpstr>
      <vt:lpstr>Račun dobiti</vt:lpstr>
      <vt:lpstr>Specifikacija prihoda</vt:lpstr>
      <vt:lpstr>Specifikacija rashoda</vt:lpstr>
      <vt:lpstr>Struktura prihoda i rashoda</vt:lpstr>
      <vt:lpstr>List2</vt:lpstr>
      <vt:lpstr>List3</vt:lpstr>
      <vt:lpstr>Količine!Podrucje_ispisa</vt:lpstr>
      <vt:lpstr>Naslovnica!Podrucje_ispisa</vt:lpstr>
      <vt:lpstr>'Račun dobiti'!Podrucje_ispisa</vt:lpstr>
      <vt:lpstr>'Specifikacija prihoda'!Podrucje_ispisa</vt:lpstr>
      <vt:lpstr>'Specifikacija rashoda'!Podrucje_ispisa</vt:lpstr>
      <vt:lpstr>'Struktura prihoda i rashoda'!Podrucje_ispisa</vt:lpstr>
      <vt:lpstr>Uvod!Podrucje_ispisa</vt:lpstr>
      <vt:lpstr>'Zaposleni 1'!Podrucje_ispisa</vt:lpstr>
      <vt:lpstr>'Zaposleni 2'!Podrucje_ispisa</vt:lpstr>
      <vt:lpstr>'Zaposleni 3'!Podrucje_ispisa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Đulić</dc:creator>
  <cp:lastModifiedBy>Sara Đulić</cp:lastModifiedBy>
  <cp:lastPrinted>2025-06-24T06:22:44Z</cp:lastPrinted>
  <dcterms:created xsi:type="dcterms:W3CDTF">2025-06-24T05:33:53Z</dcterms:created>
  <dcterms:modified xsi:type="dcterms:W3CDTF">2025-06-25T10:53:15Z</dcterms:modified>
</cp:coreProperties>
</file>